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2.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charts/chart1.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theme/themeOverride3.xml" ContentType="application/vnd.openxmlformats-officedocument.themeOverride+xml"/>
  <Override PartName="/xl/charts/chart6.xml" ContentType="application/vnd.openxmlformats-officedocument.drawingml.chart+xml"/>
  <Override PartName="/xl/theme/themeOverride4.xml" ContentType="application/vnd.openxmlformats-officedocument.themeOverride+xml"/>
  <Override PartName="/xl/charts/chart7.xml" ContentType="application/vnd.openxmlformats-officedocument.drawingml.chart+xml"/>
  <Override PartName="/xl/theme/themeOverride5.xml" ContentType="application/vnd.openxmlformats-officedocument.themeOverride+xml"/>
  <Override PartName="/xl/charts/chart8.xml" ContentType="application/vnd.openxmlformats-officedocument.drawingml.chart+xml"/>
  <Override PartName="/xl/theme/themeOverride6.xml" ContentType="application/vnd.openxmlformats-officedocument.themeOverride+xml"/>
  <Override PartName="/xl/charts/chart9.xml" ContentType="application/vnd.openxmlformats-officedocument.drawingml.chart+xml"/>
  <Override PartName="/xl/charts/chart10.xml" ContentType="application/vnd.openxmlformats-officedocument.drawingml.chart+xml"/>
  <Override PartName="/xl/theme/themeOverride7.xml" ContentType="application/vnd.openxmlformats-officedocument.themeOverrid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drawings/drawing5.xml" ContentType="application/vnd.openxmlformats-officedocument.drawing+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charts/chart11.xml" ContentType="application/vnd.openxmlformats-officedocument.drawingml.chart+xml"/>
  <Override PartName="/xl/theme/themeOverride8.xml" ContentType="application/vnd.openxmlformats-officedocument.themeOverride+xml"/>
  <Override PartName="/xl/charts/chart12.xml" ContentType="application/vnd.openxmlformats-officedocument.drawingml.chart+xml"/>
  <Override PartName="/xl/theme/themeOverride9.xml" ContentType="application/vnd.openxmlformats-officedocument.themeOverride+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theme/themeOverride10.xml" ContentType="application/vnd.openxmlformats-officedocument.themeOverride+xml"/>
  <Override PartName="/xl/charts/chart16.xml" ContentType="application/vnd.openxmlformats-officedocument.drawingml.chart+xml"/>
  <Override PartName="/xl/theme/themeOverride11.xml" ContentType="application/vnd.openxmlformats-officedocument.themeOverride+xml"/>
  <Override PartName="/xl/charts/chart17.xml" ContentType="application/vnd.openxmlformats-officedocument.drawingml.chart+xml"/>
  <Override PartName="/xl/theme/themeOverride12.xml" ContentType="application/vnd.openxmlformats-officedocument.themeOverride+xml"/>
  <Override PartName="/xl/charts/chart18.xml" ContentType="application/vnd.openxmlformats-officedocument.drawingml.chart+xml"/>
  <Override PartName="/xl/theme/themeOverride13.xml" ContentType="application/vnd.openxmlformats-officedocument.themeOverride+xml"/>
  <Override PartName="/xl/charts/chart19.xml" ContentType="application/vnd.openxmlformats-officedocument.drawingml.chart+xml"/>
  <Override PartName="/xl/theme/themeOverride14.xml" ContentType="application/vnd.openxmlformats-officedocument.themeOverride+xml"/>
  <Override PartName="/xl/charts/chart20.xml" ContentType="application/vnd.openxmlformats-officedocument.drawingml.chart+xml"/>
  <Override PartName="/xl/theme/themeOverride15.xml" ContentType="application/vnd.openxmlformats-officedocument.themeOverride+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C:\Users\tskybakmoen.LAB\Desktop\NGIPS\NGIPS WORK\Comparatives\"/>
    </mc:Choice>
  </mc:AlternateContent>
  <bookViews>
    <workbookView xWindow="0" yWindow="0" windowWidth="19725" windowHeight="8835" tabRatio="712" activeTab="3"/>
  </bookViews>
  <sheets>
    <sheet name="Title Page" sheetId="5" r:id="rId1"/>
    <sheet name="Legal" sheetId="9" r:id="rId2"/>
    <sheet name="Inputs" sheetId="4" r:id="rId3"/>
    <sheet name="SVM" sheetId="12" r:id="rId4"/>
    <sheet name="Security Analysis" sheetId="17" r:id="rId5"/>
    <sheet name="TCO Analysis" sheetId="13" r:id="rId6"/>
    <sheet name="Performance Analysis" sheetId="16" r:id="rId7"/>
    <sheet name="Calculated Results" sheetId="8" r:id="rId8"/>
    <sheet name="Calculated Costs per Device" sheetId="6" r:id="rId9"/>
    <sheet name="Calculated Costs (Central Mgmt)" sheetId="7" r:id="rId10"/>
    <sheet name="Combined Scorecards" sheetId="1" r:id="rId11"/>
    <sheet name="Management Scorecard" sheetId="20" r:id="rId12"/>
    <sheet name="PAR Scorecards" sheetId="15" r:id="rId13"/>
  </sheets>
  <definedNames>
    <definedName name="_ftn1" localSheetId="5">'TCO Analysis'!#REF!</definedName>
    <definedName name="_ftnref1" localSheetId="5">'TCO Analysis'!$B$76</definedName>
    <definedName name="_Toc223166326" localSheetId="4">'Security Analysis'!$P$139</definedName>
    <definedName name="_Toc223166332" localSheetId="4">'Security Analysis'!$AA$138</definedName>
    <definedName name="_Toc223166333" localSheetId="4">'Security Analysis'!#REF!</definedName>
    <definedName name="_Toc223166334" localSheetId="4">'Security Analysis'!$BF$137</definedName>
    <definedName name="Text28" localSheetId="12">'PAR Scorecards'!$G$235</definedName>
  </definedNames>
  <calcPr calcId="152511" concurrentCalc="0"/>
</workbook>
</file>

<file path=xl/calcChain.xml><?xml version="1.0" encoding="utf-8"?>
<calcChain xmlns="http://schemas.openxmlformats.org/spreadsheetml/2006/main">
  <c r="C29" i="4" l="1"/>
  <c r="C14" i="4"/>
  <c r="R49" i="12"/>
  <c r="R50" i="12"/>
  <c r="R51" i="12"/>
  <c r="R52" i="12"/>
  <c r="R53" i="12"/>
  <c r="R54" i="12"/>
  <c r="Q49" i="12"/>
  <c r="Q50" i="12"/>
  <c r="Q51" i="12"/>
  <c r="Q52" i="12"/>
  <c r="Q53" i="12"/>
  <c r="Q54" i="12"/>
  <c r="C54" i="4"/>
  <c r="C55" i="4"/>
  <c r="C57" i="4"/>
  <c r="C58" i="4"/>
  <c r="C59" i="4"/>
  <c r="C60" i="4"/>
  <c r="C61" i="4"/>
  <c r="C62" i="4"/>
  <c r="C63" i="4"/>
  <c r="C64" i="4"/>
  <c r="C65" i="4"/>
  <c r="C53" i="4"/>
  <c r="D54" i="4"/>
  <c r="D55" i="4"/>
  <c r="D57" i="4"/>
  <c r="D58" i="4"/>
  <c r="D59" i="4"/>
  <c r="D60" i="4"/>
  <c r="D61" i="4"/>
  <c r="D62" i="4"/>
  <c r="D63" i="4"/>
  <c r="D64" i="4"/>
  <c r="D65" i="4"/>
  <c r="D53" i="4"/>
  <c r="E54" i="4"/>
  <c r="E55" i="4"/>
  <c r="E57" i="4"/>
  <c r="E58" i="4"/>
  <c r="E59" i="4"/>
  <c r="E60" i="4"/>
  <c r="E61" i="4"/>
  <c r="E62" i="4"/>
  <c r="E63" i="4"/>
  <c r="E64" i="4"/>
  <c r="E65" i="4"/>
  <c r="E53" i="4"/>
  <c r="F54" i="4"/>
  <c r="F55" i="4"/>
  <c r="F57" i="4"/>
  <c r="F58" i="4"/>
  <c r="F59" i="4"/>
  <c r="F60" i="4"/>
  <c r="F61" i="4"/>
  <c r="F62" i="4"/>
  <c r="F63" i="4"/>
  <c r="F64" i="4"/>
  <c r="F65" i="4"/>
  <c r="F53" i="4"/>
  <c r="G54" i="4"/>
  <c r="G55" i="4"/>
  <c r="G57" i="4"/>
  <c r="G58" i="4"/>
  <c r="G59" i="4"/>
  <c r="G60" i="4"/>
  <c r="G61" i="4"/>
  <c r="G62" i="4"/>
  <c r="G63" i="4"/>
  <c r="G64" i="4"/>
  <c r="G65" i="4"/>
  <c r="G53" i="4"/>
  <c r="H54" i="4"/>
  <c r="H55" i="4"/>
  <c r="H57" i="4"/>
  <c r="H58" i="4"/>
  <c r="H59" i="4"/>
  <c r="H60" i="4"/>
  <c r="H61" i="4"/>
  <c r="H62" i="4"/>
  <c r="H63" i="4"/>
  <c r="H64" i="4"/>
  <c r="H65" i="4"/>
  <c r="H53" i="4"/>
  <c r="C39" i="4"/>
  <c r="C40" i="4"/>
  <c r="C41" i="4"/>
  <c r="C42" i="4"/>
  <c r="C43" i="4"/>
  <c r="C44" i="4"/>
  <c r="C45" i="4"/>
  <c r="C46" i="4"/>
  <c r="C48" i="4"/>
  <c r="C49" i="4"/>
  <c r="C50" i="4"/>
  <c r="C51" i="4"/>
  <c r="C52" i="4"/>
  <c r="C38" i="4"/>
  <c r="D39" i="4"/>
  <c r="D40" i="4"/>
  <c r="D41" i="4"/>
  <c r="D42" i="4"/>
  <c r="D43" i="4"/>
  <c r="D44" i="4"/>
  <c r="D45" i="4"/>
  <c r="D46" i="4"/>
  <c r="D48" i="4"/>
  <c r="D49" i="4"/>
  <c r="D50" i="4"/>
  <c r="D51" i="4"/>
  <c r="D52" i="4"/>
  <c r="D38" i="4"/>
  <c r="E39" i="4"/>
  <c r="E40" i="4"/>
  <c r="E41" i="4"/>
  <c r="E42" i="4"/>
  <c r="E43" i="4"/>
  <c r="E44" i="4"/>
  <c r="E45" i="4"/>
  <c r="E46" i="4"/>
  <c r="E48" i="4"/>
  <c r="E49" i="4"/>
  <c r="E50" i="4"/>
  <c r="E51" i="4"/>
  <c r="E52" i="4"/>
  <c r="E38" i="4"/>
  <c r="F39" i="4"/>
  <c r="F40" i="4"/>
  <c r="F41" i="4"/>
  <c r="F42" i="4"/>
  <c r="F43" i="4"/>
  <c r="F44" i="4"/>
  <c r="F45" i="4"/>
  <c r="F46" i="4"/>
  <c r="F48" i="4"/>
  <c r="F49" i="4"/>
  <c r="F50" i="4"/>
  <c r="F51" i="4"/>
  <c r="F52" i="4"/>
  <c r="F38" i="4"/>
  <c r="G39" i="4"/>
  <c r="G40" i="4"/>
  <c r="G41" i="4"/>
  <c r="G42" i="4"/>
  <c r="G43" i="4"/>
  <c r="G44" i="4"/>
  <c r="G45" i="4"/>
  <c r="G46" i="4"/>
  <c r="G48" i="4"/>
  <c r="G49" i="4"/>
  <c r="G50" i="4"/>
  <c r="G51" i="4"/>
  <c r="G52" i="4"/>
  <c r="G38" i="4"/>
  <c r="H39" i="4"/>
  <c r="H40" i="4"/>
  <c r="H41" i="4"/>
  <c r="H42" i="4"/>
  <c r="H43" i="4"/>
  <c r="H44" i="4"/>
  <c r="H45" i="4"/>
  <c r="H46" i="4"/>
  <c r="H48" i="4"/>
  <c r="H49" i="4"/>
  <c r="H50" i="4"/>
  <c r="H51" i="4"/>
  <c r="H52" i="4"/>
  <c r="H38" i="4"/>
  <c r="E306" i="17"/>
  <c r="E307" i="17"/>
  <c r="E308" i="17"/>
  <c r="E309" i="17"/>
  <c r="E310" i="17"/>
  <c r="E311" i="17"/>
  <c r="I284" i="17"/>
  <c r="I285" i="17"/>
  <c r="I286" i="17"/>
  <c r="I287" i="17"/>
  <c r="I288" i="17"/>
  <c r="I289" i="17"/>
  <c r="B60" i="17"/>
  <c r="L60" i="17"/>
  <c r="B61" i="17"/>
  <c r="L61" i="17"/>
  <c r="B62" i="17"/>
  <c r="L62" i="17"/>
  <c r="B63" i="17"/>
  <c r="L63" i="17"/>
  <c r="B64" i="17"/>
  <c r="L64" i="17"/>
  <c r="B65" i="17"/>
  <c r="L65" i="17"/>
  <c r="J60" i="17"/>
  <c r="J61" i="17"/>
  <c r="J62" i="17"/>
  <c r="J63" i="17"/>
  <c r="J64" i="17"/>
  <c r="J65" i="17"/>
  <c r="I60" i="17"/>
  <c r="I61" i="17"/>
  <c r="I62" i="17"/>
  <c r="I63" i="17"/>
  <c r="I64" i="17"/>
  <c r="I65" i="17"/>
  <c r="E60" i="17"/>
  <c r="E61" i="17"/>
  <c r="E62" i="17"/>
  <c r="E63" i="17"/>
  <c r="E64" i="17"/>
  <c r="E65" i="17"/>
  <c r="D60" i="17"/>
  <c r="D61" i="17"/>
  <c r="D62" i="17"/>
  <c r="D63" i="17"/>
  <c r="D64" i="17"/>
  <c r="D65" i="17"/>
  <c r="B51" i="17"/>
  <c r="P51" i="17"/>
  <c r="B52" i="17"/>
  <c r="P52" i="17"/>
  <c r="B53" i="17"/>
  <c r="P53" i="17"/>
  <c r="B54" i="17"/>
  <c r="P54" i="17"/>
  <c r="B55" i="17"/>
  <c r="P55" i="17"/>
  <c r="B56" i="17"/>
  <c r="P56" i="17"/>
  <c r="O51" i="17"/>
  <c r="O52" i="17"/>
  <c r="O53" i="17"/>
  <c r="O54" i="17"/>
  <c r="O55" i="17"/>
  <c r="O56" i="17"/>
  <c r="N51" i="17"/>
  <c r="N52" i="17"/>
  <c r="N53" i="17"/>
  <c r="N54" i="17"/>
  <c r="N55" i="17"/>
  <c r="N56" i="17"/>
  <c r="M51" i="17"/>
  <c r="M52" i="17"/>
  <c r="M53" i="17"/>
  <c r="M54" i="17"/>
  <c r="M55" i="17"/>
  <c r="M56" i="17"/>
  <c r="L51" i="17"/>
  <c r="L52" i="17"/>
  <c r="L53" i="17"/>
  <c r="L54" i="17"/>
  <c r="L55" i="17"/>
  <c r="L56" i="17"/>
  <c r="K51" i="17"/>
  <c r="K52" i="17"/>
  <c r="K53" i="17"/>
  <c r="K54" i="17"/>
  <c r="K55" i="17"/>
  <c r="K56" i="17"/>
  <c r="H51" i="17"/>
  <c r="H52" i="17"/>
  <c r="H53" i="17"/>
  <c r="H54" i="17"/>
  <c r="H55" i="17"/>
  <c r="H56" i="17"/>
  <c r="G51" i="17"/>
  <c r="G52" i="17"/>
  <c r="G53" i="17"/>
  <c r="G54" i="17"/>
  <c r="G55" i="17"/>
  <c r="G56" i="17"/>
  <c r="F51" i="17"/>
  <c r="F52" i="17"/>
  <c r="F53" i="17"/>
  <c r="F54" i="17"/>
  <c r="F55" i="17"/>
  <c r="F56" i="17"/>
  <c r="E51" i="17"/>
  <c r="E52" i="17"/>
  <c r="E53" i="17"/>
  <c r="E54" i="17"/>
  <c r="E55" i="17"/>
  <c r="E56" i="17"/>
  <c r="D51" i="17"/>
  <c r="D52" i="17"/>
  <c r="D53" i="17"/>
  <c r="D54" i="17"/>
  <c r="D55" i="17"/>
  <c r="D56" i="17"/>
  <c r="B41" i="17"/>
  <c r="P41" i="17"/>
  <c r="B42" i="17"/>
  <c r="P42" i="17"/>
  <c r="B43" i="17"/>
  <c r="P43" i="17"/>
  <c r="B44" i="17"/>
  <c r="P44" i="17"/>
  <c r="B45" i="17"/>
  <c r="P45" i="17"/>
  <c r="B46" i="17"/>
  <c r="P46" i="17"/>
  <c r="O41" i="17"/>
  <c r="O42" i="17"/>
  <c r="O43" i="17"/>
  <c r="O44" i="17"/>
  <c r="O45" i="17"/>
  <c r="O46" i="17"/>
  <c r="N41" i="17"/>
  <c r="N42" i="17"/>
  <c r="N43" i="17"/>
  <c r="N44" i="17"/>
  <c r="N45" i="17"/>
  <c r="N46" i="17"/>
  <c r="M41" i="17"/>
  <c r="M42" i="17"/>
  <c r="M43" i="17"/>
  <c r="M44" i="17"/>
  <c r="M45" i="17"/>
  <c r="M46" i="17"/>
  <c r="L41" i="17"/>
  <c r="L42" i="17"/>
  <c r="L43" i="17"/>
  <c r="L44" i="17"/>
  <c r="L45" i="17"/>
  <c r="L46" i="17"/>
  <c r="K41" i="17"/>
  <c r="K42" i="17"/>
  <c r="K43" i="17"/>
  <c r="K44" i="17"/>
  <c r="K45" i="17"/>
  <c r="K46" i="17"/>
  <c r="J41" i="17"/>
  <c r="J42" i="17"/>
  <c r="J43" i="17"/>
  <c r="J44" i="17"/>
  <c r="J45" i="17"/>
  <c r="J46" i="17"/>
  <c r="I41" i="17"/>
  <c r="I42" i="17"/>
  <c r="I43" i="17"/>
  <c r="I44" i="17"/>
  <c r="I45" i="17"/>
  <c r="I46" i="17"/>
  <c r="H41" i="17"/>
  <c r="H42" i="17"/>
  <c r="H43" i="17"/>
  <c r="H44" i="17"/>
  <c r="H45" i="17"/>
  <c r="H46" i="17"/>
  <c r="G41" i="17"/>
  <c r="G42" i="17"/>
  <c r="G43" i="17"/>
  <c r="G44" i="17"/>
  <c r="G45" i="17"/>
  <c r="G46" i="17"/>
  <c r="F41" i="17"/>
  <c r="F42" i="17"/>
  <c r="F43" i="17"/>
  <c r="F44" i="17"/>
  <c r="F45" i="17"/>
  <c r="F46" i="17"/>
  <c r="E41" i="17"/>
  <c r="E42" i="17"/>
  <c r="E43" i="17"/>
  <c r="E44" i="17"/>
  <c r="E45" i="17"/>
  <c r="E46" i="17"/>
  <c r="D41" i="17"/>
  <c r="D42" i="17"/>
  <c r="D43" i="17"/>
  <c r="D44" i="17"/>
  <c r="D45" i="17"/>
  <c r="D46" i="17"/>
  <c r="C242" i="1"/>
  <c r="C30" i="4"/>
  <c r="C243" i="1"/>
  <c r="C32" i="4"/>
  <c r="C17" i="7"/>
  <c r="C8" i="4"/>
  <c r="C3" i="7"/>
  <c r="C4" i="7"/>
  <c r="C5" i="7"/>
  <c r="C10" i="7"/>
  <c r="C24" i="7"/>
  <c r="D2" i="8"/>
  <c r="C7" i="8"/>
  <c r="C31" i="4"/>
  <c r="C33" i="4"/>
  <c r="C17" i="6"/>
  <c r="C3" i="6"/>
  <c r="C4" i="6"/>
  <c r="C5" i="6"/>
  <c r="C10" i="6"/>
  <c r="C24" i="6"/>
  <c r="C2" i="8"/>
  <c r="C14" i="8"/>
  <c r="C21" i="8"/>
  <c r="C18" i="7"/>
  <c r="C11" i="7"/>
  <c r="C25" i="7"/>
  <c r="C8" i="8"/>
  <c r="C18" i="6"/>
  <c r="C11" i="6"/>
  <c r="C25" i="6"/>
  <c r="C15" i="8"/>
  <c r="C22" i="8"/>
  <c r="C19" i="7"/>
  <c r="C12" i="7"/>
  <c r="C26" i="7"/>
  <c r="C9" i="8"/>
  <c r="C19" i="6"/>
  <c r="C12" i="6"/>
  <c r="C26" i="6"/>
  <c r="C16" i="8"/>
  <c r="C23" i="8"/>
  <c r="C30" i="8"/>
  <c r="E31" i="13"/>
  <c r="C3" i="16"/>
  <c r="M2" i="12"/>
  <c r="D242" i="1"/>
  <c r="D30" i="4"/>
  <c r="D243" i="1"/>
  <c r="D32" i="4"/>
  <c r="D17" i="7"/>
  <c r="D8" i="4"/>
  <c r="D3" i="7"/>
  <c r="D4" i="7"/>
  <c r="D5" i="7"/>
  <c r="D10" i="7"/>
  <c r="D24" i="7"/>
  <c r="D7" i="8"/>
  <c r="D29" i="4"/>
  <c r="D31" i="4"/>
  <c r="D33" i="4"/>
  <c r="D17" i="6"/>
  <c r="D14" i="4"/>
  <c r="D3" i="6"/>
  <c r="D4" i="6"/>
  <c r="D5" i="6"/>
  <c r="D10" i="6"/>
  <c r="D24" i="6"/>
  <c r="D14" i="8"/>
  <c r="D21" i="8"/>
  <c r="D18" i="7"/>
  <c r="D11" i="7"/>
  <c r="D25" i="7"/>
  <c r="D8" i="8"/>
  <c r="D18" i="6"/>
  <c r="D11" i="6"/>
  <c r="D25" i="6"/>
  <c r="D15" i="8"/>
  <c r="D22" i="8"/>
  <c r="D19" i="7"/>
  <c r="D12" i="7"/>
  <c r="D26" i="7"/>
  <c r="D9" i="8"/>
  <c r="D19" i="6"/>
  <c r="D12" i="6"/>
  <c r="D26" i="6"/>
  <c r="D16" i="8"/>
  <c r="D23" i="8"/>
  <c r="D30" i="8"/>
  <c r="E32" i="13"/>
  <c r="C4" i="16"/>
  <c r="E242" i="1"/>
  <c r="E30" i="4"/>
  <c r="E243" i="1"/>
  <c r="E32" i="4"/>
  <c r="E17" i="7"/>
  <c r="E8" i="4"/>
  <c r="E3" i="7"/>
  <c r="E4" i="7"/>
  <c r="E5" i="7"/>
  <c r="E10" i="7"/>
  <c r="E24" i="7"/>
  <c r="E7" i="8"/>
  <c r="E29" i="4"/>
  <c r="E31" i="4"/>
  <c r="E33" i="4"/>
  <c r="E17" i="6"/>
  <c r="E14" i="4"/>
  <c r="E3" i="6"/>
  <c r="E4" i="6"/>
  <c r="E5" i="6"/>
  <c r="E10" i="6"/>
  <c r="E24" i="6"/>
  <c r="E14" i="8"/>
  <c r="E21" i="8"/>
  <c r="E18" i="7"/>
  <c r="E11" i="7"/>
  <c r="E25" i="7"/>
  <c r="E8" i="8"/>
  <c r="E18" i="6"/>
  <c r="E11" i="6"/>
  <c r="E25" i="6"/>
  <c r="E15" i="8"/>
  <c r="E22" i="8"/>
  <c r="E19" i="7"/>
  <c r="E12" i="7"/>
  <c r="E26" i="7"/>
  <c r="E9" i="8"/>
  <c r="E19" i="6"/>
  <c r="E12" i="6"/>
  <c r="E26" i="6"/>
  <c r="E16" i="8"/>
  <c r="E23" i="8"/>
  <c r="E30" i="8"/>
  <c r="E33" i="13"/>
  <c r="C5" i="16"/>
  <c r="F242" i="1"/>
  <c r="F30" i="4"/>
  <c r="F243" i="1"/>
  <c r="F32" i="4"/>
  <c r="F17" i="7"/>
  <c r="F8" i="4"/>
  <c r="F3" i="7"/>
  <c r="F4" i="7"/>
  <c r="F5" i="7"/>
  <c r="F10" i="7"/>
  <c r="F24" i="7"/>
  <c r="F7" i="8"/>
  <c r="F29" i="4"/>
  <c r="F31" i="4"/>
  <c r="F33" i="4"/>
  <c r="F17" i="6"/>
  <c r="F14" i="4"/>
  <c r="F3" i="6"/>
  <c r="F4" i="6"/>
  <c r="F5" i="6"/>
  <c r="F10" i="6"/>
  <c r="F24" i="6"/>
  <c r="F14" i="8"/>
  <c r="F21" i="8"/>
  <c r="F18" i="7"/>
  <c r="F11" i="7"/>
  <c r="F25" i="7"/>
  <c r="F8" i="8"/>
  <c r="F18" i="6"/>
  <c r="F11" i="6"/>
  <c r="F25" i="6"/>
  <c r="F15" i="8"/>
  <c r="F22" i="8"/>
  <c r="F19" i="7"/>
  <c r="F12" i="7"/>
  <c r="F26" i="7"/>
  <c r="F9" i="8"/>
  <c r="F19" i="6"/>
  <c r="F12" i="6"/>
  <c r="F26" i="6"/>
  <c r="F16" i="8"/>
  <c r="F23" i="8"/>
  <c r="F30" i="8"/>
  <c r="E34" i="13"/>
  <c r="C6" i="16"/>
  <c r="G242" i="1"/>
  <c r="G30" i="4"/>
  <c r="G243" i="1"/>
  <c r="G32" i="4"/>
  <c r="G17" i="7"/>
  <c r="G8" i="4"/>
  <c r="G3" i="7"/>
  <c r="G4" i="7"/>
  <c r="G5" i="7"/>
  <c r="G10" i="7"/>
  <c r="G24" i="7"/>
  <c r="G7" i="8"/>
  <c r="G29" i="4"/>
  <c r="G31" i="4"/>
  <c r="G33" i="4"/>
  <c r="G17" i="6"/>
  <c r="G14" i="4"/>
  <c r="G3" i="6"/>
  <c r="G4" i="6"/>
  <c r="G5" i="6"/>
  <c r="G10" i="6"/>
  <c r="G24" i="6"/>
  <c r="G14" i="8"/>
  <c r="G21" i="8"/>
  <c r="G18" i="7"/>
  <c r="G11" i="7"/>
  <c r="G25" i="7"/>
  <c r="G8" i="8"/>
  <c r="G18" i="6"/>
  <c r="G11" i="6"/>
  <c r="G25" i="6"/>
  <c r="G15" i="8"/>
  <c r="G22" i="8"/>
  <c r="G19" i="7"/>
  <c r="G12" i="7"/>
  <c r="G26" i="7"/>
  <c r="G9" i="8"/>
  <c r="G19" i="6"/>
  <c r="G12" i="6"/>
  <c r="G26" i="6"/>
  <c r="G16" i="8"/>
  <c r="G23" i="8"/>
  <c r="G30" i="8"/>
  <c r="E35" i="13"/>
  <c r="C7" i="16"/>
  <c r="H4" i="20"/>
  <c r="H242" i="1"/>
  <c r="H30" i="4"/>
  <c r="H243" i="1"/>
  <c r="H32" i="4"/>
  <c r="H17" i="7"/>
  <c r="H8" i="4"/>
  <c r="H3" i="7"/>
  <c r="H4" i="7"/>
  <c r="H5" i="7"/>
  <c r="H10" i="7"/>
  <c r="H24" i="7"/>
  <c r="H7" i="8"/>
  <c r="H29" i="4"/>
  <c r="H31" i="4"/>
  <c r="H33" i="4"/>
  <c r="H17" i="6"/>
  <c r="H14" i="4"/>
  <c r="H3" i="6"/>
  <c r="H4" i="6"/>
  <c r="H5" i="6"/>
  <c r="H10" i="6"/>
  <c r="H24" i="6"/>
  <c r="H14" i="8"/>
  <c r="H21" i="8"/>
  <c r="H18" i="7"/>
  <c r="H11" i="7"/>
  <c r="H25" i="7"/>
  <c r="H8" i="8"/>
  <c r="H18" i="6"/>
  <c r="H11" i="6"/>
  <c r="H25" i="6"/>
  <c r="H15" i="8"/>
  <c r="H22" i="8"/>
  <c r="H19" i="7"/>
  <c r="H12" i="7"/>
  <c r="H26" i="7"/>
  <c r="H9" i="8"/>
  <c r="H19" i="6"/>
  <c r="H12" i="6"/>
  <c r="H26" i="6"/>
  <c r="H16" i="8"/>
  <c r="H23" i="8"/>
  <c r="H30" i="8"/>
  <c r="E36" i="13"/>
  <c r="C8" i="16"/>
  <c r="L50" i="12"/>
  <c r="O50" i="12"/>
  <c r="S50" i="12"/>
  <c r="L51" i="12"/>
  <c r="O51" i="12"/>
  <c r="S51" i="12"/>
  <c r="L52" i="12"/>
  <c r="O52" i="12"/>
  <c r="S52" i="12"/>
  <c r="L53" i="12"/>
  <c r="O53" i="12"/>
  <c r="S53" i="12"/>
  <c r="L54" i="12"/>
  <c r="O54" i="12"/>
  <c r="S54" i="12"/>
  <c r="L49" i="12"/>
  <c r="M49" i="12"/>
  <c r="O49" i="12"/>
  <c r="S49" i="12"/>
  <c r="N49" i="12"/>
  <c r="T49" i="12"/>
  <c r="M50" i="12"/>
  <c r="N50" i="12"/>
  <c r="T50" i="12"/>
  <c r="M51" i="12"/>
  <c r="N51" i="12"/>
  <c r="T51" i="12"/>
  <c r="M52" i="12"/>
  <c r="N52" i="12"/>
  <c r="T52" i="12"/>
  <c r="M53" i="12"/>
  <c r="N53" i="12"/>
  <c r="T53" i="12"/>
  <c r="M54" i="12"/>
  <c r="N54" i="12"/>
  <c r="T54" i="12"/>
  <c r="P49" i="12"/>
  <c r="P50" i="12"/>
  <c r="P51" i="12"/>
  <c r="P52" i="12"/>
  <c r="P53" i="12"/>
  <c r="P54" i="12"/>
  <c r="B275" i="17"/>
  <c r="B168" i="17"/>
  <c r="C168" i="17"/>
  <c r="B169" i="17"/>
  <c r="C169" i="17"/>
  <c r="B170" i="17"/>
  <c r="C170" i="17"/>
  <c r="B171" i="17"/>
  <c r="C171" i="17"/>
  <c r="B172" i="17"/>
  <c r="C172" i="17"/>
  <c r="B173" i="17"/>
  <c r="C173" i="17"/>
  <c r="C238" i="1"/>
  <c r="C240" i="1"/>
  <c r="C241" i="1"/>
  <c r="C234" i="1"/>
  <c r="C3" i="1"/>
  <c r="B31" i="13"/>
  <c r="C215" i="1"/>
  <c r="C216" i="1"/>
  <c r="C217" i="1"/>
  <c r="C218" i="1"/>
  <c r="D3" i="1"/>
  <c r="E3" i="1"/>
  <c r="F3" i="1"/>
  <c r="G3" i="1"/>
  <c r="H3" i="1"/>
  <c r="C5" i="1"/>
  <c r="D5" i="1"/>
  <c r="E5" i="1"/>
  <c r="F5" i="1"/>
  <c r="G5" i="1"/>
  <c r="H5" i="1"/>
  <c r="C7" i="1"/>
  <c r="D7" i="1"/>
  <c r="E7" i="1"/>
  <c r="F7" i="1"/>
  <c r="G7" i="1"/>
  <c r="H7" i="1"/>
  <c r="C8" i="1"/>
  <c r="D8" i="1"/>
  <c r="E8" i="1"/>
  <c r="F8" i="1"/>
  <c r="G8" i="1"/>
  <c r="H8" i="1"/>
  <c r="C9" i="1"/>
  <c r="D9" i="1"/>
  <c r="E9" i="1"/>
  <c r="F9" i="1"/>
  <c r="G9" i="1"/>
  <c r="H9" i="1"/>
  <c r="C11" i="1"/>
  <c r="D11" i="1"/>
  <c r="E11" i="1"/>
  <c r="F11" i="1"/>
  <c r="G11" i="1"/>
  <c r="H11" i="1"/>
  <c r="C12" i="1"/>
  <c r="D12" i="1"/>
  <c r="E12" i="1"/>
  <c r="F12" i="1"/>
  <c r="G12" i="1"/>
  <c r="H12" i="1"/>
  <c r="C13" i="1"/>
  <c r="D13" i="1"/>
  <c r="E13" i="1"/>
  <c r="F13" i="1"/>
  <c r="G13" i="1"/>
  <c r="H13" i="1"/>
  <c r="C14" i="1"/>
  <c r="D14" i="1"/>
  <c r="E14" i="1"/>
  <c r="F14" i="1"/>
  <c r="G14" i="1"/>
  <c r="H14" i="1"/>
  <c r="C15" i="1"/>
  <c r="D15" i="1"/>
  <c r="E15" i="1"/>
  <c r="F15" i="1"/>
  <c r="G15" i="1"/>
  <c r="H15" i="1"/>
  <c r="C16" i="1"/>
  <c r="D16" i="1"/>
  <c r="E16" i="1"/>
  <c r="F16" i="1"/>
  <c r="G16" i="1"/>
  <c r="H16" i="1"/>
  <c r="C17" i="1"/>
  <c r="D17" i="1"/>
  <c r="E17" i="1"/>
  <c r="F17" i="1"/>
  <c r="G17" i="1"/>
  <c r="H17" i="1"/>
  <c r="C19" i="1"/>
  <c r="D19" i="1"/>
  <c r="E19" i="1"/>
  <c r="F19" i="1"/>
  <c r="G19" i="1"/>
  <c r="H19" i="1"/>
  <c r="C20" i="1"/>
  <c r="D20" i="1"/>
  <c r="E20" i="1"/>
  <c r="F20" i="1"/>
  <c r="G20" i="1"/>
  <c r="H20" i="1"/>
  <c r="C22" i="1"/>
  <c r="D22" i="1"/>
  <c r="E22" i="1"/>
  <c r="F22" i="1"/>
  <c r="G22" i="1"/>
  <c r="H22" i="1"/>
  <c r="C24" i="1"/>
  <c r="D24" i="1"/>
  <c r="E24" i="1"/>
  <c r="F24" i="1"/>
  <c r="G24" i="1"/>
  <c r="H24" i="1"/>
  <c r="C25" i="1"/>
  <c r="D25" i="1"/>
  <c r="E25" i="1"/>
  <c r="F25" i="1"/>
  <c r="G25" i="1"/>
  <c r="H25" i="1"/>
  <c r="C27" i="1"/>
  <c r="D27" i="1"/>
  <c r="E27" i="1"/>
  <c r="F27" i="1"/>
  <c r="G27" i="1"/>
  <c r="H27" i="1"/>
  <c r="C28" i="1"/>
  <c r="D28" i="1"/>
  <c r="E28" i="1"/>
  <c r="F28" i="1"/>
  <c r="G28" i="1"/>
  <c r="H28" i="1"/>
  <c r="C29" i="1"/>
  <c r="D29" i="1"/>
  <c r="E29" i="1"/>
  <c r="F29" i="1"/>
  <c r="G29" i="1"/>
  <c r="H29" i="1"/>
  <c r="C30" i="1"/>
  <c r="D30" i="1"/>
  <c r="E30" i="1"/>
  <c r="F30" i="1"/>
  <c r="G30" i="1"/>
  <c r="H30" i="1"/>
  <c r="C31" i="1"/>
  <c r="D31" i="1"/>
  <c r="E31" i="1"/>
  <c r="F31" i="1"/>
  <c r="G31" i="1"/>
  <c r="H31" i="1"/>
  <c r="C32" i="1"/>
  <c r="D32" i="1"/>
  <c r="E32" i="1"/>
  <c r="F32" i="1"/>
  <c r="G32" i="1"/>
  <c r="H32" i="1"/>
  <c r="C33" i="1"/>
  <c r="D33" i="1"/>
  <c r="E33" i="1"/>
  <c r="F33" i="1"/>
  <c r="G33" i="1"/>
  <c r="H33" i="1"/>
  <c r="C34" i="1"/>
  <c r="D34" i="1"/>
  <c r="E34" i="1"/>
  <c r="F34" i="1"/>
  <c r="G34" i="1"/>
  <c r="H34" i="1"/>
  <c r="C35" i="1"/>
  <c r="D35" i="1"/>
  <c r="E35" i="1"/>
  <c r="F35" i="1"/>
  <c r="G35" i="1"/>
  <c r="H35" i="1"/>
  <c r="C36" i="1"/>
  <c r="D36" i="1"/>
  <c r="E36" i="1"/>
  <c r="F36" i="1"/>
  <c r="G36" i="1"/>
  <c r="H36" i="1"/>
  <c r="C37" i="1"/>
  <c r="D37" i="1"/>
  <c r="E37" i="1"/>
  <c r="F37" i="1"/>
  <c r="G37" i="1"/>
  <c r="H37" i="1"/>
  <c r="C38" i="1"/>
  <c r="D38" i="1"/>
  <c r="E38" i="1"/>
  <c r="F38" i="1"/>
  <c r="G38" i="1"/>
  <c r="H38" i="1"/>
  <c r="C39" i="1"/>
  <c r="D39" i="1"/>
  <c r="E39" i="1"/>
  <c r="F39" i="1"/>
  <c r="G39" i="1"/>
  <c r="H39" i="1"/>
  <c r="C40" i="1"/>
  <c r="D40" i="1"/>
  <c r="E40" i="1"/>
  <c r="F40" i="1"/>
  <c r="G40" i="1"/>
  <c r="H40" i="1"/>
  <c r="C41" i="1"/>
  <c r="D41" i="1"/>
  <c r="E41" i="1"/>
  <c r="F41" i="1"/>
  <c r="G41" i="1"/>
  <c r="H41" i="1"/>
  <c r="C42" i="1"/>
  <c r="D42" i="1"/>
  <c r="E42" i="1"/>
  <c r="F42" i="1"/>
  <c r="G42" i="1"/>
  <c r="H42" i="1"/>
  <c r="C43" i="1"/>
  <c r="D43" i="1"/>
  <c r="E43" i="1"/>
  <c r="F43" i="1"/>
  <c r="G43" i="1"/>
  <c r="H43" i="1"/>
  <c r="C44" i="1"/>
  <c r="D44" i="1"/>
  <c r="E44" i="1"/>
  <c r="F44" i="1"/>
  <c r="G44" i="1"/>
  <c r="H44" i="1"/>
  <c r="C45" i="1"/>
  <c r="D45" i="1"/>
  <c r="E45" i="1"/>
  <c r="F45" i="1"/>
  <c r="G45" i="1"/>
  <c r="H45" i="1"/>
  <c r="C46" i="1"/>
  <c r="D46" i="1"/>
  <c r="E46" i="1"/>
  <c r="F46" i="1"/>
  <c r="G46" i="1"/>
  <c r="H46" i="1"/>
  <c r="C47" i="1"/>
  <c r="D47" i="1"/>
  <c r="E47" i="1"/>
  <c r="F47" i="1"/>
  <c r="G47" i="1"/>
  <c r="H47" i="1"/>
  <c r="C48" i="1"/>
  <c r="D48" i="1"/>
  <c r="E48" i="1"/>
  <c r="F48" i="1"/>
  <c r="G48" i="1"/>
  <c r="H48" i="1"/>
  <c r="C49" i="1"/>
  <c r="D49" i="1"/>
  <c r="E49" i="1"/>
  <c r="F49" i="1"/>
  <c r="G49" i="1"/>
  <c r="H49" i="1"/>
  <c r="C50" i="1"/>
  <c r="D50" i="1"/>
  <c r="E50" i="1"/>
  <c r="F50" i="1"/>
  <c r="G50" i="1"/>
  <c r="H50" i="1"/>
  <c r="C51" i="1"/>
  <c r="D51" i="1"/>
  <c r="E51" i="1"/>
  <c r="F51" i="1"/>
  <c r="G51" i="1"/>
  <c r="H51" i="1"/>
  <c r="C52" i="1"/>
  <c r="D52" i="1"/>
  <c r="E52" i="1"/>
  <c r="F52" i="1"/>
  <c r="G52" i="1"/>
  <c r="H52" i="1"/>
  <c r="C53" i="1"/>
  <c r="D53" i="1"/>
  <c r="E53" i="1"/>
  <c r="F53" i="1"/>
  <c r="G53" i="1"/>
  <c r="H53" i="1"/>
  <c r="C54" i="1"/>
  <c r="D54" i="1"/>
  <c r="E54" i="1"/>
  <c r="F54" i="1"/>
  <c r="G54" i="1"/>
  <c r="H54" i="1"/>
  <c r="C55" i="1"/>
  <c r="D55" i="1"/>
  <c r="E55" i="1"/>
  <c r="F55" i="1"/>
  <c r="G55" i="1"/>
  <c r="H55" i="1"/>
  <c r="C56" i="1"/>
  <c r="D56" i="1"/>
  <c r="E56" i="1"/>
  <c r="F56" i="1"/>
  <c r="G56" i="1"/>
  <c r="H56" i="1"/>
  <c r="C57" i="1"/>
  <c r="D57" i="1"/>
  <c r="E57" i="1"/>
  <c r="F57" i="1"/>
  <c r="G57" i="1"/>
  <c r="H57" i="1"/>
  <c r="C58" i="1"/>
  <c r="D58" i="1"/>
  <c r="E58" i="1"/>
  <c r="F58" i="1"/>
  <c r="G58" i="1"/>
  <c r="H58" i="1"/>
  <c r="C59" i="1"/>
  <c r="D59" i="1"/>
  <c r="E59" i="1"/>
  <c r="F59" i="1"/>
  <c r="G59" i="1"/>
  <c r="H59" i="1"/>
  <c r="C60" i="1"/>
  <c r="D60" i="1"/>
  <c r="E60" i="1"/>
  <c r="F60" i="1"/>
  <c r="G60" i="1"/>
  <c r="H60" i="1"/>
  <c r="C61" i="1"/>
  <c r="D61" i="1"/>
  <c r="E61" i="1"/>
  <c r="F61" i="1"/>
  <c r="G61" i="1"/>
  <c r="H61" i="1"/>
  <c r="C62" i="1"/>
  <c r="D62" i="1"/>
  <c r="E62" i="1"/>
  <c r="F62" i="1"/>
  <c r="G62" i="1"/>
  <c r="H62" i="1"/>
  <c r="C63" i="1"/>
  <c r="D63" i="1"/>
  <c r="E63" i="1"/>
  <c r="F63" i="1"/>
  <c r="G63" i="1"/>
  <c r="H63" i="1"/>
  <c r="C64" i="1"/>
  <c r="D64" i="1"/>
  <c r="E64" i="1"/>
  <c r="F64" i="1"/>
  <c r="G64" i="1"/>
  <c r="H64" i="1"/>
  <c r="C65" i="1"/>
  <c r="D65" i="1"/>
  <c r="E65" i="1"/>
  <c r="F65" i="1"/>
  <c r="G65" i="1"/>
  <c r="H65" i="1"/>
  <c r="C66" i="1"/>
  <c r="D66" i="1"/>
  <c r="E66" i="1"/>
  <c r="F66" i="1"/>
  <c r="G66" i="1"/>
  <c r="H66" i="1"/>
  <c r="C67" i="1"/>
  <c r="D67" i="1"/>
  <c r="E67" i="1"/>
  <c r="F67" i="1"/>
  <c r="G67" i="1"/>
  <c r="H67" i="1"/>
  <c r="C68" i="1"/>
  <c r="D68" i="1"/>
  <c r="E68" i="1"/>
  <c r="F68" i="1"/>
  <c r="G68" i="1"/>
  <c r="H68" i="1"/>
  <c r="C69" i="1"/>
  <c r="D69" i="1"/>
  <c r="E69" i="1"/>
  <c r="F69" i="1"/>
  <c r="G69" i="1"/>
  <c r="H69" i="1"/>
  <c r="C70" i="1"/>
  <c r="D70" i="1"/>
  <c r="E70" i="1"/>
  <c r="F70" i="1"/>
  <c r="G70" i="1"/>
  <c r="H70" i="1"/>
  <c r="C71" i="1"/>
  <c r="D71" i="1"/>
  <c r="E71" i="1"/>
  <c r="F71" i="1"/>
  <c r="G71" i="1"/>
  <c r="H71" i="1"/>
  <c r="C72" i="1"/>
  <c r="D72" i="1"/>
  <c r="E72" i="1"/>
  <c r="F72" i="1"/>
  <c r="G72" i="1"/>
  <c r="H72" i="1"/>
  <c r="C73" i="1"/>
  <c r="D73" i="1"/>
  <c r="E73" i="1"/>
  <c r="F73" i="1"/>
  <c r="G73" i="1"/>
  <c r="H73" i="1"/>
  <c r="C74" i="1"/>
  <c r="D74" i="1"/>
  <c r="E74" i="1"/>
  <c r="F74" i="1"/>
  <c r="G74" i="1"/>
  <c r="H74" i="1"/>
  <c r="C75" i="1"/>
  <c r="D75" i="1"/>
  <c r="E75" i="1"/>
  <c r="F75" i="1"/>
  <c r="G75" i="1"/>
  <c r="H75" i="1"/>
  <c r="C76" i="1"/>
  <c r="D76" i="1"/>
  <c r="E76" i="1"/>
  <c r="F76" i="1"/>
  <c r="G76" i="1"/>
  <c r="H76" i="1"/>
  <c r="C77" i="1"/>
  <c r="D77" i="1"/>
  <c r="E77" i="1"/>
  <c r="F77" i="1"/>
  <c r="G77" i="1"/>
  <c r="H77" i="1"/>
  <c r="C78" i="1"/>
  <c r="D78" i="1"/>
  <c r="E78" i="1"/>
  <c r="F78" i="1"/>
  <c r="G78" i="1"/>
  <c r="H78" i="1"/>
  <c r="C79" i="1"/>
  <c r="D79" i="1"/>
  <c r="E79" i="1"/>
  <c r="F79" i="1"/>
  <c r="G79" i="1"/>
  <c r="H79" i="1"/>
  <c r="C80" i="1"/>
  <c r="D80" i="1"/>
  <c r="E80" i="1"/>
  <c r="F80" i="1"/>
  <c r="G80" i="1"/>
  <c r="H80" i="1"/>
  <c r="C81" i="1"/>
  <c r="D81" i="1"/>
  <c r="E81" i="1"/>
  <c r="F81" i="1"/>
  <c r="G81" i="1"/>
  <c r="H81" i="1"/>
  <c r="C82" i="1"/>
  <c r="D82" i="1"/>
  <c r="E82" i="1"/>
  <c r="F82" i="1"/>
  <c r="G82" i="1"/>
  <c r="H82" i="1"/>
  <c r="C83" i="1"/>
  <c r="D83" i="1"/>
  <c r="E83" i="1"/>
  <c r="F83" i="1"/>
  <c r="G83" i="1"/>
  <c r="H83" i="1"/>
  <c r="C84" i="1"/>
  <c r="D84" i="1"/>
  <c r="E84" i="1"/>
  <c r="F84" i="1"/>
  <c r="G84" i="1"/>
  <c r="H84" i="1"/>
  <c r="C85" i="1"/>
  <c r="D85" i="1"/>
  <c r="E85" i="1"/>
  <c r="F85" i="1"/>
  <c r="G85" i="1"/>
  <c r="H85" i="1"/>
  <c r="C86" i="1"/>
  <c r="D86" i="1"/>
  <c r="E86" i="1"/>
  <c r="F86" i="1"/>
  <c r="G86" i="1"/>
  <c r="H86" i="1"/>
  <c r="C87" i="1"/>
  <c r="D87" i="1"/>
  <c r="E87" i="1"/>
  <c r="F87" i="1"/>
  <c r="G87" i="1"/>
  <c r="H87" i="1"/>
  <c r="C88" i="1"/>
  <c r="D88" i="1"/>
  <c r="E88" i="1"/>
  <c r="F88" i="1"/>
  <c r="G88" i="1"/>
  <c r="H88" i="1"/>
  <c r="C89" i="1"/>
  <c r="D89" i="1"/>
  <c r="E89" i="1"/>
  <c r="F89" i="1"/>
  <c r="G89" i="1"/>
  <c r="H89" i="1"/>
  <c r="C90" i="1"/>
  <c r="D90" i="1"/>
  <c r="E90" i="1"/>
  <c r="F90" i="1"/>
  <c r="G90" i="1"/>
  <c r="H90" i="1"/>
  <c r="C91" i="1"/>
  <c r="D91" i="1"/>
  <c r="E91" i="1"/>
  <c r="F91" i="1"/>
  <c r="G91" i="1"/>
  <c r="H91" i="1"/>
  <c r="C92" i="1"/>
  <c r="D92" i="1"/>
  <c r="E92" i="1"/>
  <c r="F92" i="1"/>
  <c r="G92" i="1"/>
  <c r="H92" i="1"/>
  <c r="C93" i="1"/>
  <c r="D93" i="1"/>
  <c r="E93" i="1"/>
  <c r="F93" i="1"/>
  <c r="G93" i="1"/>
  <c r="H93" i="1"/>
  <c r="C94" i="1"/>
  <c r="D94" i="1"/>
  <c r="E94" i="1"/>
  <c r="F94" i="1"/>
  <c r="G94" i="1"/>
  <c r="H94" i="1"/>
  <c r="C95" i="1"/>
  <c r="D95" i="1"/>
  <c r="E95" i="1"/>
  <c r="F95" i="1"/>
  <c r="G95" i="1"/>
  <c r="H95" i="1"/>
  <c r="C96" i="1"/>
  <c r="D96" i="1"/>
  <c r="E96" i="1"/>
  <c r="F96" i="1"/>
  <c r="G96" i="1"/>
  <c r="H96" i="1"/>
  <c r="C97" i="1"/>
  <c r="D97" i="1"/>
  <c r="E97" i="1"/>
  <c r="F97" i="1"/>
  <c r="G97" i="1"/>
  <c r="H97" i="1"/>
  <c r="C98" i="1"/>
  <c r="D98" i="1"/>
  <c r="E98" i="1"/>
  <c r="F98" i="1"/>
  <c r="G98" i="1"/>
  <c r="H98" i="1"/>
  <c r="C99" i="1"/>
  <c r="D99" i="1"/>
  <c r="E99" i="1"/>
  <c r="F99" i="1"/>
  <c r="G99" i="1"/>
  <c r="H99" i="1"/>
  <c r="C100" i="1"/>
  <c r="D100" i="1"/>
  <c r="E100" i="1"/>
  <c r="F100" i="1"/>
  <c r="G100" i="1"/>
  <c r="H100" i="1"/>
  <c r="C101" i="1"/>
  <c r="D101" i="1"/>
  <c r="E101" i="1"/>
  <c r="F101" i="1"/>
  <c r="G101" i="1"/>
  <c r="H101" i="1"/>
  <c r="C102" i="1"/>
  <c r="D102" i="1"/>
  <c r="E102" i="1"/>
  <c r="F102" i="1"/>
  <c r="G102" i="1"/>
  <c r="H102" i="1"/>
  <c r="C103" i="1"/>
  <c r="D103" i="1"/>
  <c r="E103" i="1"/>
  <c r="F103" i="1"/>
  <c r="G103" i="1"/>
  <c r="H103" i="1"/>
  <c r="C104" i="1"/>
  <c r="D104" i="1"/>
  <c r="E104" i="1"/>
  <c r="F104" i="1"/>
  <c r="G104" i="1"/>
  <c r="H104" i="1"/>
  <c r="C105" i="1"/>
  <c r="D105" i="1"/>
  <c r="E105" i="1"/>
  <c r="F105" i="1"/>
  <c r="G105" i="1"/>
  <c r="H105" i="1"/>
  <c r="C106" i="1"/>
  <c r="D106" i="1"/>
  <c r="E106" i="1"/>
  <c r="F106" i="1"/>
  <c r="G106" i="1"/>
  <c r="H106" i="1"/>
  <c r="C107" i="1"/>
  <c r="D107" i="1"/>
  <c r="E107" i="1"/>
  <c r="F107" i="1"/>
  <c r="G107" i="1"/>
  <c r="H107" i="1"/>
  <c r="C108" i="1"/>
  <c r="D108" i="1"/>
  <c r="E108" i="1"/>
  <c r="F108" i="1"/>
  <c r="G108" i="1"/>
  <c r="H108" i="1"/>
  <c r="C109" i="1"/>
  <c r="D109" i="1"/>
  <c r="E109" i="1"/>
  <c r="F109" i="1"/>
  <c r="G109" i="1"/>
  <c r="H109" i="1"/>
  <c r="C110" i="1"/>
  <c r="D110" i="1"/>
  <c r="E110" i="1"/>
  <c r="F110" i="1"/>
  <c r="G110" i="1"/>
  <c r="H110" i="1"/>
  <c r="C111" i="1"/>
  <c r="D111" i="1"/>
  <c r="E111" i="1"/>
  <c r="F111" i="1"/>
  <c r="G111" i="1"/>
  <c r="H111" i="1"/>
  <c r="C112" i="1"/>
  <c r="D112" i="1"/>
  <c r="E112" i="1"/>
  <c r="F112" i="1"/>
  <c r="G112" i="1"/>
  <c r="H112" i="1"/>
  <c r="C113" i="1"/>
  <c r="D113" i="1"/>
  <c r="E113" i="1"/>
  <c r="F113" i="1"/>
  <c r="G113" i="1"/>
  <c r="H113" i="1"/>
  <c r="C114" i="1"/>
  <c r="D114" i="1"/>
  <c r="E114" i="1"/>
  <c r="F114" i="1"/>
  <c r="G114" i="1"/>
  <c r="H114" i="1"/>
  <c r="C115" i="1"/>
  <c r="D115" i="1"/>
  <c r="E115" i="1"/>
  <c r="F115" i="1"/>
  <c r="G115" i="1"/>
  <c r="H115" i="1"/>
  <c r="C116" i="1"/>
  <c r="D116" i="1"/>
  <c r="E116" i="1"/>
  <c r="F116" i="1"/>
  <c r="G116" i="1"/>
  <c r="H116" i="1"/>
  <c r="C117" i="1"/>
  <c r="D117" i="1"/>
  <c r="E117" i="1"/>
  <c r="F117" i="1"/>
  <c r="G117" i="1"/>
  <c r="H117" i="1"/>
  <c r="C118" i="1"/>
  <c r="D118" i="1"/>
  <c r="E118" i="1"/>
  <c r="F118" i="1"/>
  <c r="G118" i="1"/>
  <c r="H118" i="1"/>
  <c r="C119" i="1"/>
  <c r="D119" i="1"/>
  <c r="E119" i="1"/>
  <c r="F119" i="1"/>
  <c r="G119" i="1"/>
  <c r="H119" i="1"/>
  <c r="C120" i="1"/>
  <c r="D120" i="1"/>
  <c r="E120" i="1"/>
  <c r="F120" i="1"/>
  <c r="G120" i="1"/>
  <c r="H120" i="1"/>
  <c r="C121" i="1"/>
  <c r="D121" i="1"/>
  <c r="E121" i="1"/>
  <c r="F121" i="1"/>
  <c r="G121" i="1"/>
  <c r="H121" i="1"/>
  <c r="C122" i="1"/>
  <c r="D122" i="1"/>
  <c r="E122" i="1"/>
  <c r="F122" i="1"/>
  <c r="G122" i="1"/>
  <c r="H122" i="1"/>
  <c r="C123" i="1"/>
  <c r="D123" i="1"/>
  <c r="E123" i="1"/>
  <c r="F123" i="1"/>
  <c r="G123" i="1"/>
  <c r="H123" i="1"/>
  <c r="C124" i="1"/>
  <c r="D124" i="1"/>
  <c r="E124" i="1"/>
  <c r="F124" i="1"/>
  <c r="G124" i="1"/>
  <c r="H124" i="1"/>
  <c r="C125" i="1"/>
  <c r="D125" i="1"/>
  <c r="E125" i="1"/>
  <c r="F125" i="1"/>
  <c r="G125" i="1"/>
  <c r="H125" i="1"/>
  <c r="C126" i="1"/>
  <c r="D126" i="1"/>
  <c r="E126" i="1"/>
  <c r="F126" i="1"/>
  <c r="G126" i="1"/>
  <c r="H126" i="1"/>
  <c r="C127" i="1"/>
  <c r="D127" i="1"/>
  <c r="E127" i="1"/>
  <c r="F127" i="1"/>
  <c r="G127" i="1"/>
  <c r="H127" i="1"/>
  <c r="C128" i="1"/>
  <c r="D128" i="1"/>
  <c r="E128" i="1"/>
  <c r="F128" i="1"/>
  <c r="G128" i="1"/>
  <c r="H128" i="1"/>
  <c r="C129" i="1"/>
  <c r="D129" i="1"/>
  <c r="E129" i="1"/>
  <c r="F129" i="1"/>
  <c r="G129" i="1"/>
  <c r="H129" i="1"/>
  <c r="C130" i="1"/>
  <c r="D130" i="1"/>
  <c r="E130" i="1"/>
  <c r="F130" i="1"/>
  <c r="G130" i="1"/>
  <c r="H130" i="1"/>
  <c r="C131" i="1"/>
  <c r="D131" i="1"/>
  <c r="E131" i="1"/>
  <c r="F131" i="1"/>
  <c r="G131" i="1"/>
  <c r="H131" i="1"/>
  <c r="C132" i="1"/>
  <c r="D132" i="1"/>
  <c r="E132" i="1"/>
  <c r="F132" i="1"/>
  <c r="G132" i="1"/>
  <c r="H132" i="1"/>
  <c r="C133" i="1"/>
  <c r="D133" i="1"/>
  <c r="E133" i="1"/>
  <c r="F133" i="1"/>
  <c r="G133" i="1"/>
  <c r="H133" i="1"/>
  <c r="C134" i="1"/>
  <c r="D134" i="1"/>
  <c r="E134" i="1"/>
  <c r="F134" i="1"/>
  <c r="G134" i="1"/>
  <c r="H134" i="1"/>
  <c r="C135" i="1"/>
  <c r="D135" i="1"/>
  <c r="E135" i="1"/>
  <c r="F135" i="1"/>
  <c r="G135" i="1"/>
  <c r="H135" i="1"/>
  <c r="C136" i="1"/>
  <c r="D136" i="1"/>
  <c r="E136" i="1"/>
  <c r="F136" i="1"/>
  <c r="G136" i="1"/>
  <c r="H136" i="1"/>
  <c r="C137" i="1"/>
  <c r="D137" i="1"/>
  <c r="E137" i="1"/>
  <c r="F137" i="1"/>
  <c r="G137" i="1"/>
  <c r="H137" i="1"/>
  <c r="C138" i="1"/>
  <c r="D138" i="1"/>
  <c r="E138" i="1"/>
  <c r="F138" i="1"/>
  <c r="G138" i="1"/>
  <c r="H138" i="1"/>
  <c r="C139" i="1"/>
  <c r="D139" i="1"/>
  <c r="E139" i="1"/>
  <c r="F139" i="1"/>
  <c r="G139" i="1"/>
  <c r="H139" i="1"/>
  <c r="C140" i="1"/>
  <c r="D140" i="1"/>
  <c r="E140" i="1"/>
  <c r="F140" i="1"/>
  <c r="G140" i="1"/>
  <c r="H140" i="1"/>
  <c r="C141" i="1"/>
  <c r="D141" i="1"/>
  <c r="E141" i="1"/>
  <c r="F141" i="1"/>
  <c r="G141" i="1"/>
  <c r="H141" i="1"/>
  <c r="C142" i="1"/>
  <c r="D142" i="1"/>
  <c r="E142" i="1"/>
  <c r="F142" i="1"/>
  <c r="G142" i="1"/>
  <c r="H142" i="1"/>
  <c r="C143" i="1"/>
  <c r="D143" i="1"/>
  <c r="E143" i="1"/>
  <c r="F143" i="1"/>
  <c r="G143" i="1"/>
  <c r="H143" i="1"/>
  <c r="C144" i="1"/>
  <c r="D144" i="1"/>
  <c r="E144" i="1"/>
  <c r="F144" i="1"/>
  <c r="G144" i="1"/>
  <c r="H144" i="1"/>
  <c r="C146" i="1"/>
  <c r="D146" i="1"/>
  <c r="E146" i="1"/>
  <c r="F146" i="1"/>
  <c r="G146" i="1"/>
  <c r="H146" i="1"/>
  <c r="C147" i="1"/>
  <c r="D147" i="1"/>
  <c r="E147" i="1"/>
  <c r="F147" i="1"/>
  <c r="G147" i="1"/>
  <c r="H147" i="1"/>
  <c r="C148" i="1"/>
  <c r="D148" i="1"/>
  <c r="E148" i="1"/>
  <c r="F148" i="1"/>
  <c r="G148" i="1"/>
  <c r="H148" i="1"/>
  <c r="C149" i="1"/>
  <c r="D149" i="1"/>
  <c r="E149" i="1"/>
  <c r="F149" i="1"/>
  <c r="G149" i="1"/>
  <c r="H149" i="1"/>
  <c r="C150" i="1"/>
  <c r="D150" i="1"/>
  <c r="E150" i="1"/>
  <c r="F150" i="1"/>
  <c r="G150" i="1"/>
  <c r="H150" i="1"/>
  <c r="C151" i="1"/>
  <c r="D151" i="1"/>
  <c r="E151" i="1"/>
  <c r="F151" i="1"/>
  <c r="G151" i="1"/>
  <c r="H151" i="1"/>
  <c r="C152" i="1"/>
  <c r="D152" i="1"/>
  <c r="E152" i="1"/>
  <c r="F152" i="1"/>
  <c r="G152" i="1"/>
  <c r="H152" i="1"/>
  <c r="C153" i="1"/>
  <c r="D153" i="1"/>
  <c r="E153" i="1"/>
  <c r="F153" i="1"/>
  <c r="G153" i="1"/>
  <c r="H153" i="1"/>
  <c r="C154" i="1"/>
  <c r="D154" i="1"/>
  <c r="E154" i="1"/>
  <c r="F154" i="1"/>
  <c r="G154" i="1"/>
  <c r="H154" i="1"/>
  <c r="C155" i="1"/>
  <c r="D155" i="1"/>
  <c r="E155" i="1"/>
  <c r="F155" i="1"/>
  <c r="G155" i="1"/>
  <c r="H155" i="1"/>
  <c r="C156" i="1"/>
  <c r="D156" i="1"/>
  <c r="E156" i="1"/>
  <c r="F156" i="1"/>
  <c r="G156" i="1"/>
  <c r="H156" i="1"/>
  <c r="C157" i="1"/>
  <c r="D157" i="1"/>
  <c r="E157" i="1"/>
  <c r="F157" i="1"/>
  <c r="G157" i="1"/>
  <c r="H157" i="1"/>
  <c r="C158" i="1"/>
  <c r="D158" i="1"/>
  <c r="E158" i="1"/>
  <c r="F158" i="1"/>
  <c r="G158" i="1"/>
  <c r="H158" i="1"/>
  <c r="C159" i="1"/>
  <c r="D159" i="1"/>
  <c r="E159" i="1"/>
  <c r="F159" i="1"/>
  <c r="G159" i="1"/>
  <c r="H159" i="1"/>
  <c r="C160" i="1"/>
  <c r="D160" i="1"/>
  <c r="E160" i="1"/>
  <c r="F160" i="1"/>
  <c r="G160" i="1"/>
  <c r="H160" i="1"/>
  <c r="C161" i="1"/>
  <c r="D161" i="1"/>
  <c r="E161" i="1"/>
  <c r="F161" i="1"/>
  <c r="G161" i="1"/>
  <c r="H161" i="1"/>
  <c r="C162" i="1"/>
  <c r="D162" i="1"/>
  <c r="E162" i="1"/>
  <c r="F162" i="1"/>
  <c r="G162" i="1"/>
  <c r="H162" i="1"/>
  <c r="C163" i="1"/>
  <c r="D163" i="1"/>
  <c r="E163" i="1"/>
  <c r="F163" i="1"/>
  <c r="G163" i="1"/>
  <c r="H163" i="1"/>
  <c r="C164" i="1"/>
  <c r="D164" i="1"/>
  <c r="E164" i="1"/>
  <c r="F164" i="1"/>
  <c r="G164" i="1"/>
  <c r="H164" i="1"/>
  <c r="C165" i="1"/>
  <c r="D165" i="1"/>
  <c r="E165" i="1"/>
  <c r="F165" i="1"/>
  <c r="G165" i="1"/>
  <c r="H165" i="1"/>
  <c r="C166" i="1"/>
  <c r="D166" i="1"/>
  <c r="E166" i="1"/>
  <c r="F166" i="1"/>
  <c r="G166" i="1"/>
  <c r="H166" i="1"/>
  <c r="C167" i="1"/>
  <c r="D167" i="1"/>
  <c r="E167" i="1"/>
  <c r="F167" i="1"/>
  <c r="G167" i="1"/>
  <c r="H167" i="1"/>
  <c r="C168" i="1"/>
  <c r="D168" i="1"/>
  <c r="E168" i="1"/>
  <c r="F168" i="1"/>
  <c r="G168" i="1"/>
  <c r="H168" i="1"/>
  <c r="C169" i="1"/>
  <c r="D169" i="1"/>
  <c r="E169" i="1"/>
  <c r="F169" i="1"/>
  <c r="G169" i="1"/>
  <c r="H169" i="1"/>
  <c r="C170" i="1"/>
  <c r="D170" i="1"/>
  <c r="E170" i="1"/>
  <c r="F170" i="1"/>
  <c r="G170" i="1"/>
  <c r="H170" i="1"/>
  <c r="C171" i="1"/>
  <c r="D171" i="1"/>
  <c r="E171" i="1"/>
  <c r="F171" i="1"/>
  <c r="G171" i="1"/>
  <c r="H171" i="1"/>
  <c r="C172" i="1"/>
  <c r="D172" i="1"/>
  <c r="E172" i="1"/>
  <c r="F172" i="1"/>
  <c r="G172" i="1"/>
  <c r="H172" i="1"/>
  <c r="C173" i="1"/>
  <c r="D173" i="1"/>
  <c r="E173" i="1"/>
  <c r="F173" i="1"/>
  <c r="G173" i="1"/>
  <c r="H173" i="1"/>
  <c r="C174" i="1"/>
  <c r="D174" i="1"/>
  <c r="E174" i="1"/>
  <c r="F174" i="1"/>
  <c r="G174" i="1"/>
  <c r="H174" i="1"/>
  <c r="C175" i="1"/>
  <c r="D175" i="1"/>
  <c r="E175" i="1"/>
  <c r="F175" i="1"/>
  <c r="G175" i="1"/>
  <c r="H175" i="1"/>
  <c r="C176" i="1"/>
  <c r="D176" i="1"/>
  <c r="E176" i="1"/>
  <c r="F176" i="1"/>
  <c r="G176" i="1"/>
  <c r="H176" i="1"/>
  <c r="C178" i="1"/>
  <c r="D178" i="1"/>
  <c r="E178" i="1"/>
  <c r="F178" i="1"/>
  <c r="G178" i="1"/>
  <c r="H178" i="1"/>
  <c r="C179" i="1"/>
  <c r="D179" i="1"/>
  <c r="E179" i="1"/>
  <c r="F179" i="1"/>
  <c r="G179" i="1"/>
  <c r="H179" i="1"/>
  <c r="C180" i="1"/>
  <c r="D180" i="1"/>
  <c r="E180" i="1"/>
  <c r="F180" i="1"/>
  <c r="G180" i="1"/>
  <c r="H180" i="1"/>
  <c r="C181" i="1"/>
  <c r="D181" i="1"/>
  <c r="E181" i="1"/>
  <c r="F181" i="1"/>
  <c r="G181" i="1"/>
  <c r="H181" i="1"/>
  <c r="C182" i="1"/>
  <c r="D182" i="1"/>
  <c r="E182" i="1"/>
  <c r="F182" i="1"/>
  <c r="G182" i="1"/>
  <c r="H182" i="1"/>
  <c r="C183" i="1"/>
  <c r="D183" i="1"/>
  <c r="E183" i="1"/>
  <c r="F183" i="1"/>
  <c r="G183" i="1"/>
  <c r="H183" i="1"/>
  <c r="C184" i="1"/>
  <c r="D184" i="1"/>
  <c r="E184" i="1"/>
  <c r="F184" i="1"/>
  <c r="G184" i="1"/>
  <c r="H184" i="1"/>
  <c r="C185" i="1"/>
  <c r="D185" i="1"/>
  <c r="E185" i="1"/>
  <c r="F185" i="1"/>
  <c r="G185" i="1"/>
  <c r="H185" i="1"/>
  <c r="C186" i="1"/>
  <c r="D186" i="1"/>
  <c r="E186" i="1"/>
  <c r="F186" i="1"/>
  <c r="G186" i="1"/>
  <c r="H186" i="1"/>
  <c r="C187" i="1"/>
  <c r="D187" i="1"/>
  <c r="E187" i="1"/>
  <c r="F187" i="1"/>
  <c r="G187" i="1"/>
  <c r="H187" i="1"/>
  <c r="C188" i="1"/>
  <c r="D188" i="1"/>
  <c r="E188" i="1"/>
  <c r="F188" i="1"/>
  <c r="G188" i="1"/>
  <c r="H188" i="1"/>
  <c r="C189" i="1"/>
  <c r="D189" i="1"/>
  <c r="E189" i="1"/>
  <c r="F189" i="1"/>
  <c r="G189" i="1"/>
  <c r="H189" i="1"/>
  <c r="C190" i="1"/>
  <c r="D190" i="1"/>
  <c r="E190" i="1"/>
  <c r="F190" i="1"/>
  <c r="G190" i="1"/>
  <c r="H190" i="1"/>
  <c r="C191" i="1"/>
  <c r="D191" i="1"/>
  <c r="E191" i="1"/>
  <c r="F191" i="1"/>
  <c r="G191" i="1"/>
  <c r="H191" i="1"/>
  <c r="C192" i="1"/>
  <c r="D192" i="1"/>
  <c r="E192" i="1"/>
  <c r="F192" i="1"/>
  <c r="G192" i="1"/>
  <c r="H192" i="1"/>
  <c r="C194" i="1"/>
  <c r="D194" i="1"/>
  <c r="E194" i="1"/>
  <c r="F194" i="1"/>
  <c r="G194" i="1"/>
  <c r="H194" i="1"/>
  <c r="C195" i="1"/>
  <c r="D195" i="1"/>
  <c r="E195" i="1"/>
  <c r="F195" i="1"/>
  <c r="G195" i="1"/>
  <c r="H195" i="1"/>
  <c r="C196" i="1"/>
  <c r="D196" i="1"/>
  <c r="E196" i="1"/>
  <c r="F196" i="1"/>
  <c r="G196" i="1"/>
  <c r="H196" i="1"/>
  <c r="C197" i="1"/>
  <c r="D197" i="1"/>
  <c r="E197" i="1"/>
  <c r="F197" i="1"/>
  <c r="G197" i="1"/>
  <c r="H197" i="1"/>
  <c r="C198" i="1"/>
  <c r="D198" i="1"/>
  <c r="E198" i="1"/>
  <c r="F198" i="1"/>
  <c r="G198" i="1"/>
  <c r="H198" i="1"/>
  <c r="C200" i="1"/>
  <c r="D200" i="1"/>
  <c r="E200" i="1"/>
  <c r="F200" i="1"/>
  <c r="G200" i="1"/>
  <c r="H200" i="1"/>
  <c r="C201" i="1"/>
  <c r="D201" i="1"/>
  <c r="E201" i="1"/>
  <c r="F201" i="1"/>
  <c r="G201" i="1"/>
  <c r="H201" i="1"/>
  <c r="C202" i="1"/>
  <c r="D202" i="1"/>
  <c r="E202" i="1"/>
  <c r="F202" i="1"/>
  <c r="G202" i="1"/>
  <c r="H202" i="1"/>
  <c r="C203" i="1"/>
  <c r="D203" i="1"/>
  <c r="E203" i="1"/>
  <c r="F203" i="1"/>
  <c r="G203" i="1"/>
  <c r="H203" i="1"/>
  <c r="C204" i="1"/>
  <c r="D204" i="1"/>
  <c r="E204" i="1"/>
  <c r="F204" i="1"/>
  <c r="G204" i="1"/>
  <c r="H204" i="1"/>
  <c r="C205" i="1"/>
  <c r="D205" i="1"/>
  <c r="E205" i="1"/>
  <c r="F205" i="1"/>
  <c r="G205" i="1"/>
  <c r="H205" i="1"/>
  <c r="C206" i="1"/>
  <c r="D206" i="1"/>
  <c r="E206" i="1"/>
  <c r="F206" i="1"/>
  <c r="G206" i="1"/>
  <c r="H206" i="1"/>
  <c r="C207" i="1"/>
  <c r="D207" i="1"/>
  <c r="E207" i="1"/>
  <c r="F207" i="1"/>
  <c r="G207" i="1"/>
  <c r="H207" i="1"/>
  <c r="C208" i="1"/>
  <c r="D208" i="1"/>
  <c r="E208" i="1"/>
  <c r="F208" i="1"/>
  <c r="G208" i="1"/>
  <c r="H208" i="1"/>
  <c r="C209" i="1"/>
  <c r="D209" i="1"/>
  <c r="E209" i="1"/>
  <c r="F209" i="1"/>
  <c r="G209" i="1"/>
  <c r="H209" i="1"/>
  <c r="C210" i="1"/>
  <c r="D210" i="1"/>
  <c r="E210" i="1"/>
  <c r="F210" i="1"/>
  <c r="G210" i="1"/>
  <c r="H210" i="1"/>
  <c r="C212" i="1"/>
  <c r="D212" i="1"/>
  <c r="E212" i="1"/>
  <c r="F212" i="1"/>
  <c r="G212" i="1"/>
  <c r="H212" i="1"/>
  <c r="C213" i="1"/>
  <c r="D213" i="1"/>
  <c r="E213" i="1"/>
  <c r="F213" i="1"/>
  <c r="G213" i="1"/>
  <c r="H213" i="1"/>
  <c r="C214" i="1"/>
  <c r="D214" i="1"/>
  <c r="E214" i="1"/>
  <c r="F214" i="1"/>
  <c r="G214" i="1"/>
  <c r="H214" i="1"/>
  <c r="D215" i="1"/>
  <c r="E215" i="1"/>
  <c r="F215" i="1"/>
  <c r="G215" i="1"/>
  <c r="H215" i="1"/>
  <c r="D216" i="1"/>
  <c r="E216" i="1"/>
  <c r="F216" i="1"/>
  <c r="G216" i="1"/>
  <c r="H216" i="1"/>
  <c r="D217" i="1"/>
  <c r="E217" i="1"/>
  <c r="F217" i="1"/>
  <c r="G217" i="1"/>
  <c r="H217" i="1"/>
  <c r="D218" i="1"/>
  <c r="E218" i="1"/>
  <c r="F218" i="1"/>
  <c r="G218" i="1"/>
  <c r="H218" i="1"/>
  <c r="C220" i="1"/>
  <c r="D220" i="1"/>
  <c r="E220" i="1"/>
  <c r="F220" i="1"/>
  <c r="G220" i="1"/>
  <c r="H220" i="1"/>
  <c r="C221" i="1"/>
  <c r="D221" i="1"/>
  <c r="E221" i="1"/>
  <c r="F221" i="1"/>
  <c r="G221" i="1"/>
  <c r="H221" i="1"/>
  <c r="C222" i="1"/>
  <c r="D222" i="1"/>
  <c r="E222" i="1"/>
  <c r="F222" i="1"/>
  <c r="G222" i="1"/>
  <c r="H222" i="1"/>
  <c r="C223" i="1"/>
  <c r="D223" i="1"/>
  <c r="E223" i="1"/>
  <c r="F223" i="1"/>
  <c r="G223" i="1"/>
  <c r="H223" i="1"/>
  <c r="C224" i="1"/>
  <c r="D224" i="1"/>
  <c r="E224" i="1"/>
  <c r="F224" i="1"/>
  <c r="G224" i="1"/>
  <c r="H224" i="1"/>
  <c r="C225" i="1"/>
  <c r="D225" i="1"/>
  <c r="E225" i="1"/>
  <c r="F225" i="1"/>
  <c r="G225" i="1"/>
  <c r="H225" i="1"/>
  <c r="C226" i="1"/>
  <c r="D226" i="1"/>
  <c r="E226" i="1"/>
  <c r="F226" i="1"/>
  <c r="G226" i="1"/>
  <c r="H226" i="1"/>
  <c r="C227" i="1"/>
  <c r="D227" i="1"/>
  <c r="E227" i="1"/>
  <c r="F227" i="1"/>
  <c r="G227" i="1"/>
  <c r="H227" i="1"/>
  <c r="C228" i="1"/>
  <c r="D228" i="1"/>
  <c r="E228" i="1"/>
  <c r="F228" i="1"/>
  <c r="G228" i="1"/>
  <c r="H228" i="1"/>
  <c r="C229" i="1"/>
  <c r="D229" i="1"/>
  <c r="E229" i="1"/>
  <c r="F229" i="1"/>
  <c r="G229" i="1"/>
  <c r="H229" i="1"/>
  <c r="C230" i="1"/>
  <c r="D230" i="1"/>
  <c r="E230" i="1"/>
  <c r="F230" i="1"/>
  <c r="G230" i="1"/>
  <c r="H230" i="1"/>
  <c r="C231" i="1"/>
  <c r="D231" i="1"/>
  <c r="E231" i="1"/>
  <c r="F231" i="1"/>
  <c r="G231" i="1"/>
  <c r="H231" i="1"/>
  <c r="D234" i="1"/>
  <c r="E234" i="1"/>
  <c r="F234" i="1"/>
  <c r="G234" i="1"/>
  <c r="H234" i="1"/>
  <c r="C235" i="1"/>
  <c r="D235" i="1"/>
  <c r="E235" i="1"/>
  <c r="F235" i="1"/>
  <c r="G235" i="1"/>
  <c r="H235" i="1"/>
  <c r="C236" i="1"/>
  <c r="D236" i="1"/>
  <c r="E236" i="1"/>
  <c r="F236" i="1"/>
  <c r="G236" i="1"/>
  <c r="H236" i="1"/>
  <c r="D238" i="1"/>
  <c r="E238" i="1"/>
  <c r="F238" i="1"/>
  <c r="G238" i="1"/>
  <c r="H238" i="1"/>
  <c r="C239" i="1"/>
  <c r="D239" i="1"/>
  <c r="E239" i="1"/>
  <c r="F239" i="1"/>
  <c r="G239" i="1"/>
  <c r="H239" i="1"/>
  <c r="D240" i="1"/>
  <c r="E240" i="1"/>
  <c r="F240" i="1"/>
  <c r="G240" i="1"/>
  <c r="H240" i="1"/>
  <c r="D241" i="1"/>
  <c r="E241" i="1"/>
  <c r="F241" i="1"/>
  <c r="G241" i="1"/>
  <c r="H241" i="1"/>
  <c r="C244" i="1"/>
  <c r="D244" i="1"/>
  <c r="E244" i="1"/>
  <c r="F244" i="1"/>
  <c r="G244" i="1"/>
  <c r="H244" i="1"/>
  <c r="C245" i="1"/>
  <c r="D245" i="1"/>
  <c r="E245" i="1"/>
  <c r="F245" i="1"/>
  <c r="G245" i="1"/>
  <c r="H245" i="1"/>
  <c r="C247" i="1"/>
  <c r="D247" i="1"/>
  <c r="E247" i="1"/>
  <c r="F247" i="1"/>
  <c r="G247" i="1"/>
  <c r="H247" i="1"/>
  <c r="C248" i="1"/>
  <c r="D248" i="1"/>
  <c r="E248" i="1"/>
  <c r="F248" i="1"/>
  <c r="G248" i="1"/>
  <c r="H248" i="1"/>
  <c r="C249" i="1"/>
  <c r="D249" i="1"/>
  <c r="E249" i="1"/>
  <c r="F249" i="1"/>
  <c r="G249" i="1"/>
  <c r="H249" i="1"/>
  <c r="C250" i="1"/>
  <c r="D250" i="1"/>
  <c r="E250" i="1"/>
  <c r="F250" i="1"/>
  <c r="G250" i="1"/>
  <c r="H250" i="1"/>
  <c r="B3" i="16"/>
  <c r="B32" i="13"/>
  <c r="B4" i="16"/>
  <c r="B33" i="13"/>
  <c r="B5" i="16"/>
  <c r="B34" i="13"/>
  <c r="B6" i="16"/>
  <c r="B35" i="13"/>
  <c r="B7" i="16"/>
  <c r="B36" i="13"/>
  <c r="B8" i="16"/>
  <c r="E3" i="15"/>
  <c r="H3" i="15"/>
  <c r="H239" i="15"/>
  <c r="H247" i="15"/>
  <c r="H248" i="15"/>
  <c r="H249" i="15"/>
  <c r="H250" i="15"/>
  <c r="H241" i="15"/>
  <c r="C3" i="15"/>
  <c r="D3" i="15"/>
  <c r="F3" i="15"/>
  <c r="G3" i="15"/>
  <c r="C239" i="15"/>
  <c r="D239" i="15"/>
  <c r="E239" i="15"/>
  <c r="F239" i="15"/>
  <c r="G239" i="15"/>
  <c r="B13" i="17"/>
  <c r="E13" i="17"/>
  <c r="B14" i="17"/>
  <c r="E14" i="17"/>
  <c r="B15" i="17"/>
  <c r="E15" i="17"/>
  <c r="B16" i="17"/>
  <c r="E16" i="17"/>
  <c r="B17" i="17"/>
  <c r="E17" i="17"/>
  <c r="B18" i="17"/>
  <c r="E18" i="17"/>
  <c r="D284" i="15"/>
  <c r="D283" i="15"/>
  <c r="D281" i="15"/>
  <c r="D282" i="15"/>
  <c r="D280" i="15"/>
  <c r="G252" i="15"/>
  <c r="F252" i="15"/>
  <c r="C257" i="15"/>
  <c r="B257" i="15"/>
  <c r="B256" i="15"/>
  <c r="B259" i="15"/>
  <c r="C256" i="15"/>
  <c r="C259" i="15"/>
  <c r="D247" i="15"/>
  <c r="C247" i="15"/>
  <c r="C248" i="15"/>
  <c r="C249" i="15"/>
  <c r="E247" i="15"/>
  <c r="G247" i="15"/>
  <c r="F247" i="15"/>
  <c r="D248" i="15"/>
  <c r="E248" i="15"/>
  <c r="G248" i="15"/>
  <c r="F248" i="15"/>
  <c r="D249" i="15"/>
  <c r="E249" i="15"/>
  <c r="G249" i="15"/>
  <c r="F249" i="15"/>
  <c r="C250" i="15"/>
  <c r="D250" i="15"/>
  <c r="E250" i="15"/>
  <c r="G250" i="15"/>
  <c r="F250" i="15"/>
  <c r="B139" i="13"/>
  <c r="C139" i="13"/>
  <c r="B140" i="13"/>
  <c r="C140" i="13"/>
  <c r="B141" i="13"/>
  <c r="C141" i="13"/>
  <c r="B142" i="13"/>
  <c r="C142" i="13"/>
  <c r="B143" i="13"/>
  <c r="C143" i="13"/>
  <c r="B144" i="13"/>
  <c r="C144" i="13"/>
  <c r="B306" i="17"/>
  <c r="C306" i="17"/>
  <c r="C47" i="4"/>
  <c r="C56" i="4"/>
  <c r="C41" i="17"/>
  <c r="D306" i="17"/>
  <c r="F306" i="17"/>
  <c r="B316" i="17"/>
  <c r="D316" i="17"/>
  <c r="B77" i="13"/>
  <c r="F77" i="13"/>
  <c r="B307" i="17"/>
  <c r="C307" i="17"/>
  <c r="D47" i="4"/>
  <c r="D56" i="4"/>
  <c r="C42" i="17"/>
  <c r="D307" i="17"/>
  <c r="F307" i="17"/>
  <c r="B317" i="17"/>
  <c r="D317" i="17"/>
  <c r="B78" i="13"/>
  <c r="F78" i="13"/>
  <c r="B308" i="17"/>
  <c r="C308" i="17"/>
  <c r="E47" i="4"/>
  <c r="E56" i="4"/>
  <c r="C43" i="17"/>
  <c r="D308" i="17"/>
  <c r="F308" i="17"/>
  <c r="B318" i="17"/>
  <c r="D318" i="17"/>
  <c r="B79" i="13"/>
  <c r="F79" i="13"/>
  <c r="B309" i="17"/>
  <c r="C309" i="17"/>
  <c r="F47" i="4"/>
  <c r="F56" i="4"/>
  <c r="C44" i="17"/>
  <c r="D309" i="17"/>
  <c r="F309" i="17"/>
  <c r="B319" i="17"/>
  <c r="D319" i="17"/>
  <c r="B80" i="13"/>
  <c r="F80" i="13"/>
  <c r="B310" i="17"/>
  <c r="C310" i="17"/>
  <c r="G47" i="4"/>
  <c r="G56" i="4"/>
  <c r="C45" i="17"/>
  <c r="D310" i="17"/>
  <c r="F310" i="17"/>
  <c r="B320" i="17"/>
  <c r="D320" i="17"/>
  <c r="B81" i="13"/>
  <c r="F81" i="13"/>
  <c r="B311" i="17"/>
  <c r="C311" i="17"/>
  <c r="H47" i="4"/>
  <c r="H56" i="4"/>
  <c r="C46" i="17"/>
  <c r="D311" i="17"/>
  <c r="F311" i="17"/>
  <c r="B321" i="17"/>
  <c r="D321" i="17"/>
  <c r="B82" i="13"/>
  <c r="F82" i="13"/>
  <c r="B294" i="17"/>
  <c r="M294" i="17"/>
  <c r="B295" i="17"/>
  <c r="M295" i="17"/>
  <c r="B296" i="17"/>
  <c r="M296" i="17"/>
  <c r="B297" i="17"/>
  <c r="M297" i="17"/>
  <c r="B298" i="17"/>
  <c r="M298" i="17"/>
  <c r="B299" i="17"/>
  <c r="M299" i="17"/>
  <c r="L294" i="17"/>
  <c r="L295" i="17"/>
  <c r="L296" i="17"/>
  <c r="L297" i="17"/>
  <c r="L298" i="17"/>
  <c r="L299" i="17"/>
  <c r="K294" i="17"/>
  <c r="K295" i="17"/>
  <c r="K296" i="17"/>
  <c r="K297" i="17"/>
  <c r="K298" i="17"/>
  <c r="K299" i="17"/>
  <c r="J294" i="17"/>
  <c r="J295" i="17"/>
  <c r="J296" i="17"/>
  <c r="J297" i="17"/>
  <c r="J298" i="17"/>
  <c r="J299" i="17"/>
  <c r="I294" i="17"/>
  <c r="I295" i="17"/>
  <c r="I296" i="17"/>
  <c r="I297" i="17"/>
  <c r="I298" i="17"/>
  <c r="I299" i="17"/>
  <c r="H294" i="17"/>
  <c r="H295" i="17"/>
  <c r="H296" i="17"/>
  <c r="H297" i="17"/>
  <c r="H298" i="17"/>
  <c r="H299" i="17"/>
  <c r="G294" i="17"/>
  <c r="G295" i="17"/>
  <c r="G296" i="17"/>
  <c r="G297" i="17"/>
  <c r="G298" i="17"/>
  <c r="G299" i="17"/>
  <c r="F294" i="17"/>
  <c r="F295" i="17"/>
  <c r="F296" i="17"/>
  <c r="F297" i="17"/>
  <c r="F298" i="17"/>
  <c r="F299" i="17"/>
  <c r="E294" i="17"/>
  <c r="E295" i="17"/>
  <c r="E296" i="17"/>
  <c r="E297" i="17"/>
  <c r="E298" i="17"/>
  <c r="E299" i="17"/>
  <c r="D294" i="17"/>
  <c r="D295" i="17"/>
  <c r="D296" i="17"/>
  <c r="D297" i="17"/>
  <c r="D298" i="17"/>
  <c r="D299" i="17"/>
  <c r="C294" i="17"/>
  <c r="C295" i="17"/>
  <c r="C296" i="17"/>
  <c r="C297" i="17"/>
  <c r="C298" i="17"/>
  <c r="C299" i="17"/>
  <c r="B284" i="17"/>
  <c r="B285" i="17"/>
  <c r="B286" i="17"/>
  <c r="B287" i="17"/>
  <c r="B288" i="17"/>
  <c r="B289" i="17"/>
  <c r="H284" i="17"/>
  <c r="H285" i="17"/>
  <c r="H286" i="17"/>
  <c r="H287" i="17"/>
  <c r="H288" i="17"/>
  <c r="H289" i="17"/>
  <c r="G284" i="17"/>
  <c r="G285" i="17"/>
  <c r="G286" i="17"/>
  <c r="G287" i="17"/>
  <c r="G288" i="17"/>
  <c r="G289" i="17"/>
  <c r="F284" i="17"/>
  <c r="F285" i="17"/>
  <c r="F286" i="17"/>
  <c r="F287" i="17"/>
  <c r="F288" i="17"/>
  <c r="F289" i="17"/>
  <c r="E284" i="17"/>
  <c r="E285" i="17"/>
  <c r="E286" i="17"/>
  <c r="E287" i="17"/>
  <c r="E288" i="17"/>
  <c r="E289" i="17"/>
  <c r="D284" i="17"/>
  <c r="D285" i="17"/>
  <c r="D286" i="17"/>
  <c r="D287" i="17"/>
  <c r="D288" i="17"/>
  <c r="D289" i="17"/>
  <c r="C284" i="17"/>
  <c r="C285" i="17"/>
  <c r="C286" i="17"/>
  <c r="C287" i="17"/>
  <c r="C288" i="17"/>
  <c r="C289" i="17"/>
  <c r="I275" i="17"/>
  <c r="B276" i="17"/>
  <c r="I276" i="17"/>
  <c r="B277" i="17"/>
  <c r="I277" i="17"/>
  <c r="B278" i="17"/>
  <c r="I278" i="17"/>
  <c r="B279" i="17"/>
  <c r="I279" i="17"/>
  <c r="B280" i="17"/>
  <c r="I280" i="17"/>
  <c r="H275" i="17"/>
  <c r="H276" i="17"/>
  <c r="H277" i="17"/>
  <c r="H278" i="17"/>
  <c r="H279" i="17"/>
  <c r="H280" i="17"/>
  <c r="G275" i="17"/>
  <c r="G276" i="17"/>
  <c r="G277" i="17"/>
  <c r="G278" i="17"/>
  <c r="G279" i="17"/>
  <c r="G280" i="17"/>
  <c r="F275" i="17"/>
  <c r="F276" i="17"/>
  <c r="F277" i="17"/>
  <c r="F278" i="17"/>
  <c r="F279" i="17"/>
  <c r="F280" i="17"/>
  <c r="E275" i="17"/>
  <c r="E276" i="17"/>
  <c r="E277" i="17"/>
  <c r="E278" i="17"/>
  <c r="E279" i="17"/>
  <c r="E280" i="17"/>
  <c r="D275" i="17"/>
  <c r="D276" i="17"/>
  <c r="D277" i="17"/>
  <c r="D278" i="17"/>
  <c r="D279" i="17"/>
  <c r="D280" i="17"/>
  <c r="C275" i="17"/>
  <c r="C276" i="17"/>
  <c r="C277" i="17"/>
  <c r="C278" i="17"/>
  <c r="C279" i="17"/>
  <c r="C280" i="17"/>
  <c r="B150" i="17"/>
  <c r="E150" i="17"/>
  <c r="B151" i="17"/>
  <c r="E151" i="17"/>
  <c r="B152" i="17"/>
  <c r="E152" i="17"/>
  <c r="B153" i="17"/>
  <c r="E153" i="17"/>
  <c r="B154" i="17"/>
  <c r="E154" i="17"/>
  <c r="B155" i="17"/>
  <c r="E155" i="17"/>
  <c r="D150" i="17"/>
  <c r="D151" i="17"/>
  <c r="D152" i="17"/>
  <c r="D153" i="17"/>
  <c r="D154" i="17"/>
  <c r="D155" i="17"/>
  <c r="C150" i="17"/>
  <c r="C151" i="17"/>
  <c r="C152" i="17"/>
  <c r="C153" i="17"/>
  <c r="C154" i="17"/>
  <c r="C155" i="17"/>
  <c r="D13" i="17"/>
  <c r="D14" i="17"/>
  <c r="D15" i="17"/>
  <c r="D16" i="17"/>
  <c r="D17" i="17"/>
  <c r="D18" i="17"/>
  <c r="C13" i="17"/>
  <c r="C14" i="17"/>
  <c r="C15" i="17"/>
  <c r="C16" i="17"/>
  <c r="C17" i="17"/>
  <c r="C18" i="17"/>
  <c r="B48" i="16"/>
  <c r="F48" i="16"/>
  <c r="B49" i="16"/>
  <c r="F49" i="16"/>
  <c r="B50" i="16"/>
  <c r="F50" i="16"/>
  <c r="B51" i="16"/>
  <c r="F51" i="16"/>
  <c r="B52" i="16"/>
  <c r="F52" i="16"/>
  <c r="B53" i="16"/>
  <c r="F53" i="16"/>
  <c r="E48" i="16"/>
  <c r="E49" i="16"/>
  <c r="E50" i="16"/>
  <c r="E51" i="16"/>
  <c r="E52" i="16"/>
  <c r="E53" i="16"/>
  <c r="D48" i="16"/>
  <c r="D49" i="16"/>
  <c r="D50" i="16"/>
  <c r="D51" i="16"/>
  <c r="D52" i="16"/>
  <c r="D53" i="16"/>
  <c r="C48" i="16"/>
  <c r="C49" i="16"/>
  <c r="C50" i="16"/>
  <c r="C51" i="16"/>
  <c r="C52" i="16"/>
  <c r="C53" i="16"/>
  <c r="B39" i="16"/>
  <c r="N39" i="16"/>
  <c r="B40" i="16"/>
  <c r="N40" i="16"/>
  <c r="B41" i="16"/>
  <c r="N41" i="16"/>
  <c r="B42" i="16"/>
  <c r="N42" i="16"/>
  <c r="B43" i="16"/>
  <c r="N43" i="16"/>
  <c r="B44" i="16"/>
  <c r="N44" i="16"/>
  <c r="M39" i="16"/>
  <c r="M40" i="16"/>
  <c r="M41" i="16"/>
  <c r="M42" i="16"/>
  <c r="M43" i="16"/>
  <c r="M44" i="16"/>
  <c r="L39" i="16"/>
  <c r="L40" i="16"/>
  <c r="L41" i="16"/>
  <c r="L42" i="16"/>
  <c r="L43" i="16"/>
  <c r="L44" i="16"/>
  <c r="K39" i="16"/>
  <c r="K40" i="16"/>
  <c r="K41" i="16"/>
  <c r="K42" i="16"/>
  <c r="K43" i="16"/>
  <c r="K44" i="16"/>
  <c r="J39" i="16"/>
  <c r="J40" i="16"/>
  <c r="J41" i="16"/>
  <c r="J42" i="16"/>
  <c r="J43" i="16"/>
  <c r="J44" i="16"/>
  <c r="I39" i="16"/>
  <c r="I40" i="16"/>
  <c r="I41" i="16"/>
  <c r="I42" i="16"/>
  <c r="I43" i="16"/>
  <c r="I44" i="16"/>
  <c r="H39" i="16"/>
  <c r="H40" i="16"/>
  <c r="H41" i="16"/>
  <c r="H42" i="16"/>
  <c r="H43" i="16"/>
  <c r="H44" i="16"/>
  <c r="G39" i="16"/>
  <c r="G40" i="16"/>
  <c r="G41" i="16"/>
  <c r="G42" i="16"/>
  <c r="G43" i="16"/>
  <c r="G44" i="16"/>
  <c r="F39" i="16"/>
  <c r="F40" i="16"/>
  <c r="F41" i="16"/>
  <c r="F42" i="16"/>
  <c r="F43" i="16"/>
  <c r="F44" i="16"/>
  <c r="E39" i="16"/>
  <c r="E40" i="16"/>
  <c r="E41" i="16"/>
  <c r="E42" i="16"/>
  <c r="E43" i="16"/>
  <c r="E44" i="16"/>
  <c r="D39" i="16"/>
  <c r="D40" i="16"/>
  <c r="D41" i="16"/>
  <c r="D42" i="16"/>
  <c r="D43" i="16"/>
  <c r="D44" i="16"/>
  <c r="C39" i="16"/>
  <c r="C40" i="16"/>
  <c r="C41" i="16"/>
  <c r="C42" i="16"/>
  <c r="C43" i="16"/>
  <c r="C44" i="16"/>
  <c r="B30" i="16"/>
  <c r="D30" i="16"/>
  <c r="B31" i="16"/>
  <c r="D31" i="16"/>
  <c r="B32" i="16"/>
  <c r="D32" i="16"/>
  <c r="B33" i="16"/>
  <c r="D33" i="16"/>
  <c r="B34" i="16"/>
  <c r="D34" i="16"/>
  <c r="B35" i="16"/>
  <c r="D35" i="16"/>
  <c r="C30" i="16"/>
  <c r="C31" i="16"/>
  <c r="C32" i="16"/>
  <c r="C33" i="16"/>
  <c r="C34" i="16"/>
  <c r="C35" i="16"/>
  <c r="B21" i="16"/>
  <c r="L21" i="16"/>
  <c r="B22" i="16"/>
  <c r="L22" i="16"/>
  <c r="B23" i="16"/>
  <c r="L23" i="16"/>
  <c r="B24" i="16"/>
  <c r="L24" i="16"/>
  <c r="B25" i="16"/>
  <c r="L25" i="16"/>
  <c r="B26" i="16"/>
  <c r="L26" i="16"/>
  <c r="K21" i="16"/>
  <c r="K22" i="16"/>
  <c r="K23" i="16"/>
  <c r="K24" i="16"/>
  <c r="K25" i="16"/>
  <c r="K26" i="16"/>
  <c r="J21" i="16"/>
  <c r="J22" i="16"/>
  <c r="J23" i="16"/>
  <c r="J24" i="16"/>
  <c r="J25" i="16"/>
  <c r="J26" i="16"/>
  <c r="I21" i="16"/>
  <c r="I22" i="16"/>
  <c r="I23" i="16"/>
  <c r="I24" i="16"/>
  <c r="I25" i="16"/>
  <c r="I26" i="16"/>
  <c r="H21" i="16"/>
  <c r="H22" i="16"/>
  <c r="H23" i="16"/>
  <c r="H24" i="16"/>
  <c r="H25" i="16"/>
  <c r="H26" i="16"/>
  <c r="G21" i="16"/>
  <c r="G22" i="16"/>
  <c r="G23" i="16"/>
  <c r="G24" i="16"/>
  <c r="G25" i="16"/>
  <c r="G26" i="16"/>
  <c r="F21" i="16"/>
  <c r="F22" i="16"/>
  <c r="F23" i="16"/>
  <c r="F24" i="16"/>
  <c r="F25" i="16"/>
  <c r="F26" i="16"/>
  <c r="E21" i="16"/>
  <c r="E22" i="16"/>
  <c r="E23" i="16"/>
  <c r="E24" i="16"/>
  <c r="E25" i="16"/>
  <c r="E26" i="16"/>
  <c r="D21" i="16"/>
  <c r="D22" i="16"/>
  <c r="D23" i="16"/>
  <c r="D24" i="16"/>
  <c r="D25" i="16"/>
  <c r="D26" i="16"/>
  <c r="C21" i="16"/>
  <c r="C22" i="16"/>
  <c r="C23" i="16"/>
  <c r="C24" i="16"/>
  <c r="C25" i="16"/>
  <c r="C26" i="16"/>
  <c r="B12" i="16"/>
  <c r="G12" i="16"/>
  <c r="B13" i="16"/>
  <c r="G13" i="16"/>
  <c r="B14" i="16"/>
  <c r="G14" i="16"/>
  <c r="B15" i="16"/>
  <c r="G15" i="16"/>
  <c r="B16" i="16"/>
  <c r="G16" i="16"/>
  <c r="B17" i="16"/>
  <c r="G17" i="16"/>
  <c r="F12" i="16"/>
  <c r="F13" i="16"/>
  <c r="F14" i="16"/>
  <c r="F15" i="16"/>
  <c r="F16" i="16"/>
  <c r="F17" i="16"/>
  <c r="E12" i="16"/>
  <c r="E13" i="16"/>
  <c r="E14" i="16"/>
  <c r="E15" i="16"/>
  <c r="E16" i="16"/>
  <c r="E17" i="16"/>
  <c r="D12" i="16"/>
  <c r="D13" i="16"/>
  <c r="D14" i="16"/>
  <c r="D15" i="16"/>
  <c r="D16" i="16"/>
  <c r="D17" i="16"/>
  <c r="C12" i="16"/>
  <c r="C13" i="16"/>
  <c r="C14" i="16"/>
  <c r="C15" i="16"/>
  <c r="C16" i="16"/>
  <c r="C17" i="16"/>
  <c r="B13" i="13"/>
  <c r="C13" i="13"/>
  <c r="B14" i="13"/>
  <c r="C14" i="13"/>
  <c r="B15" i="13"/>
  <c r="C15" i="13"/>
  <c r="B16" i="13"/>
  <c r="C16" i="13"/>
  <c r="B17" i="13"/>
  <c r="C17" i="13"/>
  <c r="B18" i="13"/>
  <c r="C18" i="13"/>
  <c r="B153" i="13"/>
  <c r="B152" i="13"/>
  <c r="B151" i="13"/>
  <c r="B150" i="13"/>
  <c r="B149" i="13"/>
  <c r="B148" i="13"/>
  <c r="B135" i="13"/>
  <c r="B134" i="13"/>
  <c r="B133" i="13"/>
  <c r="B132" i="13"/>
  <c r="B131" i="13"/>
  <c r="B130" i="13"/>
  <c r="B123" i="13"/>
  <c r="B122" i="13"/>
  <c r="B121" i="13"/>
  <c r="B120" i="13"/>
  <c r="B119" i="13"/>
  <c r="B118" i="13"/>
  <c r="B112" i="13"/>
  <c r="B111" i="13"/>
  <c r="B110" i="13"/>
  <c r="B109" i="13"/>
  <c r="B108" i="13"/>
  <c r="B107" i="13"/>
  <c r="B103" i="13"/>
  <c r="B102" i="13"/>
  <c r="B101" i="13"/>
  <c r="B100" i="13"/>
  <c r="B99" i="13"/>
  <c r="B98" i="13"/>
  <c r="B91" i="13"/>
  <c r="B90" i="13"/>
  <c r="B89" i="13"/>
  <c r="B88" i="13"/>
  <c r="B87" i="13"/>
  <c r="B86" i="13"/>
  <c r="B72" i="13"/>
  <c r="B71" i="13"/>
  <c r="B70" i="13"/>
  <c r="B69" i="13"/>
  <c r="B68" i="13"/>
  <c r="B67" i="13"/>
  <c r="B63" i="13"/>
  <c r="B62" i="13"/>
  <c r="B61" i="13"/>
  <c r="B60" i="13"/>
  <c r="B59" i="13"/>
  <c r="B58" i="13"/>
  <c r="B54" i="13"/>
  <c r="B53" i="13"/>
  <c r="B52" i="13"/>
  <c r="B51" i="13"/>
  <c r="B50" i="13"/>
  <c r="B49" i="13"/>
  <c r="B45" i="13"/>
  <c r="B44" i="13"/>
  <c r="B43" i="13"/>
  <c r="B42" i="13"/>
  <c r="B41" i="13"/>
  <c r="B40" i="13"/>
  <c r="B27" i="13"/>
  <c r="B26" i="13"/>
  <c r="B25" i="13"/>
  <c r="B24" i="13"/>
  <c r="B23" i="13"/>
  <c r="B22" i="13"/>
  <c r="B8" i="13"/>
  <c r="B7" i="13"/>
  <c r="B6" i="13"/>
  <c r="B5" i="13"/>
  <c r="B4" i="13"/>
  <c r="B3" i="13"/>
  <c r="B164" i="17"/>
  <c r="B163" i="17"/>
  <c r="B162" i="17"/>
  <c r="B161" i="17"/>
  <c r="B160" i="17"/>
  <c r="B159" i="17"/>
  <c r="B36" i="17"/>
  <c r="B35" i="17"/>
  <c r="B34" i="17"/>
  <c r="B33" i="17"/>
  <c r="B32" i="17"/>
  <c r="B31" i="17"/>
  <c r="B28" i="17"/>
  <c r="B27" i="17"/>
  <c r="B26" i="17"/>
  <c r="B25" i="17"/>
  <c r="B24" i="17"/>
  <c r="B23" i="17"/>
  <c r="B8" i="17"/>
  <c r="B7" i="17"/>
  <c r="B6" i="17"/>
  <c r="B5" i="17"/>
  <c r="B4" i="17"/>
  <c r="B3" i="17"/>
  <c r="C4" i="13"/>
  <c r="C5" i="13"/>
  <c r="C6" i="13"/>
  <c r="C7" i="13"/>
  <c r="C8" i="13"/>
  <c r="H31" i="7"/>
  <c r="H32" i="7"/>
  <c r="H33" i="7"/>
  <c r="H31" i="6"/>
  <c r="H32" i="6"/>
  <c r="H33" i="6"/>
  <c r="D28" i="8"/>
  <c r="E28" i="8"/>
  <c r="F28" i="8"/>
  <c r="G28" i="8"/>
  <c r="H28" i="8"/>
  <c r="D29" i="8"/>
  <c r="E29" i="8"/>
  <c r="F29" i="8"/>
  <c r="G29" i="8"/>
  <c r="H29" i="8"/>
  <c r="M23" i="16"/>
  <c r="N23" i="16"/>
  <c r="O23" i="16"/>
  <c r="P23" i="16"/>
  <c r="Q23" i="16"/>
  <c r="D4" i="16"/>
  <c r="E4" i="16"/>
  <c r="C149" i="13"/>
  <c r="D149" i="13"/>
  <c r="E149" i="13"/>
  <c r="F149" i="13"/>
  <c r="G149" i="13"/>
  <c r="D3" i="16"/>
  <c r="E3" i="16"/>
  <c r="D5" i="16"/>
  <c r="E5" i="16"/>
  <c r="D6" i="16"/>
  <c r="E6" i="16"/>
  <c r="D7" i="16"/>
  <c r="E7" i="16"/>
  <c r="D8" i="16"/>
  <c r="E8" i="16"/>
  <c r="C132" i="13"/>
  <c r="C3" i="13"/>
  <c r="D3" i="13"/>
  <c r="E3" i="13"/>
  <c r="F3" i="13"/>
  <c r="C28" i="8"/>
  <c r="G3" i="13"/>
  <c r="C29" i="8"/>
  <c r="H3" i="13"/>
  <c r="I3" i="13"/>
  <c r="D4" i="13"/>
  <c r="E4" i="13"/>
  <c r="F4" i="13"/>
  <c r="G4" i="13"/>
  <c r="H4" i="13"/>
  <c r="I4" i="13"/>
  <c r="D5" i="13"/>
  <c r="E5" i="13"/>
  <c r="F5" i="13"/>
  <c r="G5" i="13"/>
  <c r="H5" i="13"/>
  <c r="I5" i="13"/>
  <c r="D6" i="13"/>
  <c r="E6" i="13"/>
  <c r="F6" i="13"/>
  <c r="G6" i="13"/>
  <c r="H6" i="13"/>
  <c r="I6" i="13"/>
  <c r="D7" i="13"/>
  <c r="E7" i="13"/>
  <c r="F7" i="13"/>
  <c r="G7" i="13"/>
  <c r="H7" i="13"/>
  <c r="I7" i="13"/>
  <c r="D8" i="13"/>
  <c r="E8" i="13"/>
  <c r="F8" i="13"/>
  <c r="G8" i="13"/>
  <c r="H8" i="13"/>
  <c r="I8" i="13"/>
  <c r="D132" i="13"/>
  <c r="C77" i="13"/>
  <c r="D77" i="13"/>
  <c r="E77" i="13"/>
  <c r="G77" i="13"/>
  <c r="C78" i="13"/>
  <c r="D78" i="13"/>
  <c r="E78" i="13"/>
  <c r="G78" i="13"/>
  <c r="C79" i="13"/>
  <c r="D79" i="13"/>
  <c r="E79" i="13"/>
  <c r="G79" i="13"/>
  <c r="C80" i="13"/>
  <c r="D80" i="13"/>
  <c r="E80" i="13"/>
  <c r="G80" i="13"/>
  <c r="C81" i="13"/>
  <c r="D81" i="13"/>
  <c r="E81" i="13"/>
  <c r="G81" i="13"/>
  <c r="C82" i="13"/>
  <c r="D82" i="13"/>
  <c r="E82" i="13"/>
  <c r="G82" i="13"/>
  <c r="E132" i="13"/>
  <c r="F132" i="13"/>
  <c r="G132" i="13"/>
  <c r="D13" i="13"/>
  <c r="E13" i="13"/>
  <c r="D14" i="13"/>
  <c r="E14" i="13"/>
  <c r="D15" i="13"/>
  <c r="E15" i="13"/>
  <c r="D16" i="13"/>
  <c r="E16" i="13"/>
  <c r="D17" i="13"/>
  <c r="E17" i="13"/>
  <c r="D18" i="13"/>
  <c r="E18" i="13"/>
  <c r="C119" i="13"/>
  <c r="D119" i="13"/>
  <c r="E119" i="13"/>
  <c r="D118" i="13"/>
  <c r="D120" i="13"/>
  <c r="D121" i="13"/>
  <c r="D122" i="13"/>
  <c r="D123" i="13"/>
  <c r="D124" i="13"/>
  <c r="F119" i="13"/>
  <c r="G119" i="13"/>
  <c r="H119" i="13"/>
  <c r="C22" i="13"/>
  <c r="D22" i="13"/>
  <c r="E22" i="13"/>
  <c r="F22" i="13"/>
  <c r="C23" i="13"/>
  <c r="D23" i="13"/>
  <c r="E23" i="13"/>
  <c r="F23" i="13"/>
  <c r="C24" i="13"/>
  <c r="D24" i="13"/>
  <c r="E24" i="13"/>
  <c r="F24" i="13"/>
  <c r="C25" i="13"/>
  <c r="D25" i="13"/>
  <c r="E25" i="13"/>
  <c r="F25" i="13"/>
  <c r="C26" i="13"/>
  <c r="D26" i="13"/>
  <c r="E26" i="13"/>
  <c r="F26" i="13"/>
  <c r="C27" i="13"/>
  <c r="D27" i="13"/>
  <c r="E27" i="13"/>
  <c r="F27" i="13"/>
  <c r="C108" i="13"/>
  <c r="C40" i="13"/>
  <c r="D40" i="13"/>
  <c r="E40" i="13"/>
  <c r="F40" i="13"/>
  <c r="G40" i="13"/>
  <c r="C41" i="13"/>
  <c r="D41" i="13"/>
  <c r="E41" i="13"/>
  <c r="F41" i="13"/>
  <c r="G41" i="13"/>
  <c r="C42" i="13"/>
  <c r="D42" i="13"/>
  <c r="E42" i="13"/>
  <c r="F42" i="13"/>
  <c r="G42" i="13"/>
  <c r="C43" i="13"/>
  <c r="D43" i="13"/>
  <c r="E43" i="13"/>
  <c r="F43" i="13"/>
  <c r="G43" i="13"/>
  <c r="C44" i="13"/>
  <c r="D44" i="13"/>
  <c r="E44" i="13"/>
  <c r="F44" i="13"/>
  <c r="G44" i="13"/>
  <c r="C45" i="13"/>
  <c r="D45" i="13"/>
  <c r="E45" i="13"/>
  <c r="F45" i="13"/>
  <c r="G45" i="13"/>
  <c r="D108" i="13"/>
  <c r="C67" i="13"/>
  <c r="D67" i="13"/>
  <c r="E67" i="13"/>
  <c r="F67" i="13"/>
  <c r="G67" i="13"/>
  <c r="H67" i="13"/>
  <c r="C68" i="13"/>
  <c r="D68" i="13"/>
  <c r="E68" i="13"/>
  <c r="F68" i="13"/>
  <c r="G68" i="13"/>
  <c r="H68" i="13"/>
  <c r="C69" i="13"/>
  <c r="D69" i="13"/>
  <c r="E69" i="13"/>
  <c r="F69" i="13"/>
  <c r="G69" i="13"/>
  <c r="H69" i="13"/>
  <c r="C70" i="13"/>
  <c r="D70" i="13"/>
  <c r="E70" i="13"/>
  <c r="F70" i="13"/>
  <c r="G70" i="13"/>
  <c r="H70" i="13"/>
  <c r="C71" i="13"/>
  <c r="D71" i="13"/>
  <c r="E71" i="13"/>
  <c r="F71" i="13"/>
  <c r="G71" i="13"/>
  <c r="H71" i="13"/>
  <c r="C72" i="13"/>
  <c r="D72" i="13"/>
  <c r="E72" i="13"/>
  <c r="F72" i="13"/>
  <c r="G72" i="13"/>
  <c r="H72" i="13"/>
  <c r="E108" i="13"/>
  <c r="C86" i="13"/>
  <c r="D86" i="13"/>
  <c r="E86" i="13"/>
  <c r="F86" i="13"/>
  <c r="G86" i="13"/>
  <c r="H86" i="13"/>
  <c r="C87" i="13"/>
  <c r="D87" i="13"/>
  <c r="E87" i="13"/>
  <c r="F87" i="13"/>
  <c r="G87" i="13"/>
  <c r="H87" i="13"/>
  <c r="C88" i="13"/>
  <c r="D88" i="13"/>
  <c r="E88" i="13"/>
  <c r="F88" i="13"/>
  <c r="G88" i="13"/>
  <c r="H88" i="13"/>
  <c r="C89" i="13"/>
  <c r="D89" i="13"/>
  <c r="E89" i="13"/>
  <c r="F89" i="13"/>
  <c r="G89" i="13"/>
  <c r="H89" i="13"/>
  <c r="C90" i="13"/>
  <c r="D90" i="13"/>
  <c r="E90" i="13"/>
  <c r="F90" i="13"/>
  <c r="G90" i="13"/>
  <c r="H90" i="13"/>
  <c r="C91" i="13"/>
  <c r="D91" i="13"/>
  <c r="E91" i="13"/>
  <c r="F91" i="13"/>
  <c r="G91" i="13"/>
  <c r="H91" i="13"/>
  <c r="F108" i="13"/>
  <c r="C99" i="13"/>
  <c r="C31" i="13"/>
  <c r="D31" i="13"/>
  <c r="F31" i="13"/>
  <c r="C32" i="13"/>
  <c r="D32" i="13"/>
  <c r="F32" i="13"/>
  <c r="C33" i="13"/>
  <c r="D33" i="13"/>
  <c r="F33" i="13"/>
  <c r="C34" i="13"/>
  <c r="D34" i="13"/>
  <c r="F34" i="13"/>
  <c r="C35" i="13"/>
  <c r="D35" i="13"/>
  <c r="F35" i="13"/>
  <c r="C36" i="13"/>
  <c r="D36" i="13"/>
  <c r="F36" i="13"/>
  <c r="D99" i="13"/>
  <c r="C58" i="13"/>
  <c r="D58" i="13"/>
  <c r="E58" i="13"/>
  <c r="F58" i="13"/>
  <c r="G58" i="13"/>
  <c r="C59" i="13"/>
  <c r="D59" i="13"/>
  <c r="E59" i="13"/>
  <c r="F59" i="13"/>
  <c r="G59" i="13"/>
  <c r="C60" i="13"/>
  <c r="D60" i="13"/>
  <c r="E60" i="13"/>
  <c r="F60" i="13"/>
  <c r="G60" i="13"/>
  <c r="C61" i="13"/>
  <c r="D61" i="13"/>
  <c r="E61" i="13"/>
  <c r="F61" i="13"/>
  <c r="G61" i="13"/>
  <c r="C62" i="13"/>
  <c r="D62" i="13"/>
  <c r="E62" i="13"/>
  <c r="F62" i="13"/>
  <c r="G62" i="13"/>
  <c r="C63" i="13"/>
  <c r="D63" i="13"/>
  <c r="E63" i="13"/>
  <c r="F63" i="13"/>
  <c r="G63" i="13"/>
  <c r="E99" i="13"/>
  <c r="F99" i="13"/>
  <c r="C50" i="13"/>
  <c r="D50" i="13"/>
  <c r="E50" i="13"/>
  <c r="C317" i="17"/>
  <c r="N295" i="17"/>
  <c r="C61" i="17"/>
  <c r="C53" i="17"/>
  <c r="C51" i="17"/>
  <c r="C23" i="17"/>
  <c r="C60" i="17"/>
  <c r="D23" i="17"/>
  <c r="E23" i="17"/>
  <c r="C52" i="17"/>
  <c r="C24" i="17"/>
  <c r="C62" i="17"/>
  <c r="D24" i="17"/>
  <c r="E24" i="17"/>
  <c r="C25" i="17"/>
  <c r="D25" i="17"/>
  <c r="E25" i="17"/>
  <c r="C54" i="17"/>
  <c r="C26" i="17"/>
  <c r="C63" i="17"/>
  <c r="D26" i="17"/>
  <c r="E26" i="17"/>
  <c r="C55" i="17"/>
  <c r="C27" i="17"/>
  <c r="C64" i="17"/>
  <c r="D27" i="17"/>
  <c r="E27" i="17"/>
  <c r="C56" i="17"/>
  <c r="C28" i="17"/>
  <c r="C65" i="17"/>
  <c r="D28" i="17"/>
  <c r="E28" i="17"/>
  <c r="C32" i="17"/>
  <c r="D32" i="17"/>
  <c r="E32" i="17"/>
  <c r="C13" i="5"/>
  <c r="C12" i="5"/>
  <c r="C11" i="5"/>
  <c r="C10" i="5"/>
  <c r="C9" i="5"/>
  <c r="C8" i="5"/>
  <c r="C31" i="7"/>
  <c r="D31" i="7"/>
  <c r="E31" i="7"/>
  <c r="F31" i="7"/>
  <c r="G31" i="7"/>
  <c r="C31" i="6"/>
  <c r="D31" i="6"/>
  <c r="E31" i="6"/>
  <c r="F31" i="6"/>
  <c r="G31" i="6"/>
  <c r="Q57" i="12"/>
  <c r="N294" i="17"/>
  <c r="N296" i="17"/>
  <c r="N297" i="17"/>
  <c r="N298" i="17"/>
  <c r="N299" i="17"/>
  <c r="C316" i="17"/>
  <c r="C318" i="17"/>
  <c r="C319" i="17"/>
  <c r="C320" i="17"/>
  <c r="C321" i="17"/>
  <c r="M56" i="12"/>
  <c r="Q56" i="12"/>
  <c r="E148" i="13"/>
  <c r="C148" i="13"/>
  <c r="D148" i="13"/>
  <c r="F148" i="13"/>
  <c r="G148" i="13"/>
  <c r="D2" i="12"/>
  <c r="M24" i="16"/>
  <c r="M25" i="16"/>
  <c r="M26" i="16"/>
  <c r="N24" i="16"/>
  <c r="N25" i="16"/>
  <c r="N26" i="16"/>
  <c r="O24" i="16"/>
  <c r="O25" i="16"/>
  <c r="O26" i="16"/>
  <c r="P24" i="16"/>
  <c r="P25" i="16"/>
  <c r="P26" i="16"/>
  <c r="Q24" i="16"/>
  <c r="Q25" i="16"/>
  <c r="Q26" i="16"/>
  <c r="C151" i="13"/>
  <c r="C152" i="13"/>
  <c r="C153" i="13"/>
  <c r="D151" i="13"/>
  <c r="D152" i="13"/>
  <c r="D153" i="13"/>
  <c r="E151" i="13"/>
  <c r="E152" i="13"/>
  <c r="E153" i="13"/>
  <c r="F151" i="13"/>
  <c r="F152" i="13"/>
  <c r="F153" i="13"/>
  <c r="G151" i="13"/>
  <c r="G152" i="13"/>
  <c r="G153" i="13"/>
  <c r="C133" i="13"/>
  <c r="C134" i="13"/>
  <c r="C135" i="13"/>
  <c r="D133" i="13"/>
  <c r="D134" i="13"/>
  <c r="D135" i="13"/>
  <c r="E133" i="13"/>
  <c r="E134" i="13"/>
  <c r="E135" i="13"/>
  <c r="F133" i="13"/>
  <c r="F134" i="13"/>
  <c r="F135" i="13"/>
  <c r="G133" i="13"/>
  <c r="G134" i="13"/>
  <c r="G135" i="13"/>
  <c r="C121" i="13"/>
  <c r="C122" i="13"/>
  <c r="C123" i="13"/>
  <c r="E121" i="13"/>
  <c r="E122" i="13"/>
  <c r="E123" i="13"/>
  <c r="F121" i="13"/>
  <c r="F122" i="13"/>
  <c r="F123" i="13"/>
  <c r="G121" i="13"/>
  <c r="G122" i="13"/>
  <c r="G123" i="13"/>
  <c r="H121" i="13"/>
  <c r="H122" i="13"/>
  <c r="H123" i="13"/>
  <c r="C110" i="13"/>
  <c r="C111" i="13"/>
  <c r="C112" i="13"/>
  <c r="D110" i="13"/>
  <c r="D111" i="13"/>
  <c r="D112" i="13"/>
  <c r="E110" i="13"/>
  <c r="E111" i="13"/>
  <c r="E112" i="13"/>
  <c r="F110" i="13"/>
  <c r="F111" i="13"/>
  <c r="F112" i="13"/>
  <c r="C101" i="13"/>
  <c r="C102" i="13"/>
  <c r="C103" i="13"/>
  <c r="D101" i="13"/>
  <c r="D102" i="13"/>
  <c r="D103" i="13"/>
  <c r="E101" i="13"/>
  <c r="E102" i="13"/>
  <c r="E103" i="13"/>
  <c r="F101" i="13"/>
  <c r="F102" i="13"/>
  <c r="F103" i="13"/>
  <c r="C52" i="13"/>
  <c r="C53" i="13"/>
  <c r="C54" i="13"/>
  <c r="D52" i="13"/>
  <c r="D53" i="13"/>
  <c r="D54" i="13"/>
  <c r="E52" i="13"/>
  <c r="E53" i="13"/>
  <c r="E54" i="13"/>
  <c r="C34" i="17"/>
  <c r="C35" i="17"/>
  <c r="C36" i="17"/>
  <c r="D34" i="17"/>
  <c r="D35" i="17"/>
  <c r="D36" i="17"/>
  <c r="E34" i="17"/>
  <c r="E35" i="17"/>
  <c r="E36" i="17"/>
  <c r="D32" i="7"/>
  <c r="E32" i="7"/>
  <c r="F32" i="7"/>
  <c r="G32" i="7"/>
  <c r="D33" i="7"/>
  <c r="E33" i="7"/>
  <c r="F33" i="7"/>
  <c r="G33" i="7"/>
  <c r="F32" i="6"/>
  <c r="F33" i="6"/>
  <c r="E3" i="12"/>
  <c r="E2" i="12"/>
  <c r="C130" i="13"/>
  <c r="C131" i="13"/>
  <c r="D49" i="13"/>
  <c r="D51" i="13"/>
  <c r="R56" i="12"/>
  <c r="N56" i="12"/>
  <c r="D98" i="13"/>
  <c r="E98" i="13"/>
  <c r="E100" i="13"/>
  <c r="E130" i="13"/>
  <c r="E131" i="13"/>
  <c r="F107" i="13"/>
  <c r="F109" i="13"/>
  <c r="F98" i="13"/>
  <c r="F100" i="13"/>
  <c r="M57" i="12"/>
  <c r="G150" i="13"/>
  <c r="F150" i="13"/>
  <c r="E150" i="13"/>
  <c r="D150" i="13"/>
  <c r="C150" i="13"/>
  <c r="F130" i="13"/>
  <c r="G130" i="13"/>
  <c r="F131" i="13"/>
  <c r="G131" i="13"/>
  <c r="D130" i="13"/>
  <c r="D131" i="13"/>
  <c r="E118" i="13"/>
  <c r="E120" i="13"/>
  <c r="E124" i="13"/>
  <c r="F118" i="13"/>
  <c r="F120" i="13"/>
  <c r="F124" i="13"/>
  <c r="D3" i="12"/>
  <c r="E33" i="17"/>
  <c r="D33" i="17"/>
  <c r="C33" i="17"/>
  <c r="D31" i="17"/>
  <c r="C31" i="17"/>
  <c r="Q22" i="16"/>
  <c r="P22" i="16"/>
  <c r="O22" i="16"/>
  <c r="N22" i="16"/>
  <c r="M22" i="16"/>
  <c r="Q21" i="16"/>
  <c r="P21" i="16"/>
  <c r="O21" i="16"/>
  <c r="N21" i="16"/>
  <c r="M21" i="16"/>
  <c r="M3" i="12"/>
  <c r="C32" i="6"/>
  <c r="C49" i="13"/>
  <c r="N3" i="12"/>
  <c r="N2" i="12"/>
  <c r="C118" i="13"/>
  <c r="C98" i="13"/>
  <c r="C51" i="13"/>
  <c r="E51" i="13"/>
  <c r="E49" i="13"/>
  <c r="E32" i="6"/>
  <c r="G32" i="6"/>
  <c r="E33" i="6"/>
  <c r="G33" i="6"/>
  <c r="C33" i="6"/>
  <c r="C32" i="7"/>
  <c r="C33" i="7"/>
  <c r="C107" i="13"/>
  <c r="D107" i="13"/>
  <c r="E107" i="13"/>
  <c r="D32" i="6"/>
  <c r="D33" i="6"/>
  <c r="E109" i="13"/>
  <c r="E113" i="13"/>
  <c r="D109" i="13"/>
  <c r="D113" i="13"/>
  <c r="C109" i="13"/>
  <c r="C113" i="13"/>
  <c r="C100" i="13"/>
  <c r="D100" i="13"/>
  <c r="C120" i="13"/>
  <c r="C124" i="13"/>
  <c r="E31" i="17"/>
  <c r="G120" i="13"/>
  <c r="H120" i="13"/>
  <c r="G118" i="13"/>
  <c r="H118" i="13"/>
  <c r="F113" i="13"/>
</calcChain>
</file>

<file path=xl/sharedStrings.xml><?xml version="1.0" encoding="utf-8"?>
<sst xmlns="http://schemas.openxmlformats.org/spreadsheetml/2006/main" count="1847" uniqueCount="722">
  <si>
    <t xml:space="preserve">Test ID </t>
  </si>
  <si>
    <t>Description</t>
  </si>
  <si>
    <t>Security Effectiveness</t>
  </si>
  <si>
    <t>3.1.1</t>
  </si>
  <si>
    <t>3.1.2</t>
  </si>
  <si>
    <t>3.1.3</t>
  </si>
  <si>
    <t>3.1.4</t>
  </si>
  <si>
    <t>3.1.5</t>
  </si>
  <si>
    <t>3.1.6</t>
  </si>
  <si>
    <t>Performance</t>
  </si>
  <si>
    <t>4.1.1</t>
  </si>
  <si>
    <t>Theoretical Max. Concurrent TCP Connections</t>
  </si>
  <si>
    <t>4.1.2</t>
  </si>
  <si>
    <t>Theoretical Max. Concurrent TCP Connections w/Data</t>
  </si>
  <si>
    <t>4.1.3</t>
  </si>
  <si>
    <t>Maximum TCP Connections Per Second</t>
  </si>
  <si>
    <t>4.1.4</t>
  </si>
  <si>
    <t>Maximum HTTP Connections Per Second</t>
  </si>
  <si>
    <t>4.1.5</t>
  </si>
  <si>
    <t>Maximum HTTP Transactions Per Second</t>
  </si>
  <si>
    <t>4.2.1</t>
  </si>
  <si>
    <t>2.500 Connections Per Second – 44Kbyte Response</t>
  </si>
  <si>
    <t>4.2.2</t>
  </si>
  <si>
    <t>5,000 Connections Per Second – 21Kbyte Response</t>
  </si>
  <si>
    <t>4.2.3</t>
  </si>
  <si>
    <t>10,000 Connections Per Second – 10Kbyte Response</t>
  </si>
  <si>
    <t>4.2.4</t>
  </si>
  <si>
    <t>20,000 Connections Per Second – 4.5Kbyte Response</t>
  </si>
  <si>
    <t>4.2.5</t>
  </si>
  <si>
    <t>40,000 Connections Per Second – 1.7Kbyte Response</t>
  </si>
  <si>
    <t>4.3.1</t>
  </si>
  <si>
    <t>4.3.2</t>
  </si>
  <si>
    <t>4.3.4</t>
  </si>
  <si>
    <t>4.4.1</t>
  </si>
  <si>
    <t>4.4.2</t>
  </si>
  <si>
    <t>Mbps</t>
  </si>
  <si>
    <t>4.5.1</t>
  </si>
  <si>
    <t>128 Byte Packets</t>
  </si>
  <si>
    <t>4.5.2</t>
  </si>
  <si>
    <t>256 Byte Packets</t>
  </si>
  <si>
    <t>512 Byte Packets</t>
  </si>
  <si>
    <t>1024 Byte Packets</t>
  </si>
  <si>
    <t>1514 Byte Packets</t>
  </si>
  <si>
    <t>Latency - UDP</t>
  </si>
  <si>
    <t>4.6.1</t>
  </si>
  <si>
    <t>“Real World” Traffic</t>
  </si>
  <si>
    <t>Stability &amp; Reliability</t>
  </si>
  <si>
    <t>Blocking Under Extended Attack</t>
  </si>
  <si>
    <t>Passing Legitimate Traffic Under Extended Attack</t>
  </si>
  <si>
    <t>Protocol Fuzzing &amp; Mutation</t>
  </si>
  <si>
    <t>Power Fail</t>
  </si>
  <si>
    <t>Redundancy</t>
  </si>
  <si>
    <t>Persistence of Data</t>
  </si>
  <si>
    <t>Total Cost of Ownership</t>
  </si>
  <si>
    <t>Ease of Use</t>
  </si>
  <si>
    <t>7.1.1</t>
  </si>
  <si>
    <t>Initial Setup (Hours)</t>
  </si>
  <si>
    <t>Expected Costs</t>
  </si>
  <si>
    <t>7.2.1</t>
  </si>
  <si>
    <t>Initial Purchase (hardware as tested)</t>
  </si>
  <si>
    <t>7.2.2</t>
  </si>
  <si>
    <t>7.2.3</t>
  </si>
  <si>
    <t>Annual Cost of Maintenance &amp; Support (hardware/software)</t>
  </si>
  <si>
    <t>7.2.4</t>
  </si>
  <si>
    <t>7.2.6</t>
  </si>
  <si>
    <t>Installation Labor Cost (@$75/hr)</t>
  </si>
  <si>
    <t>7.3.1</t>
  </si>
  <si>
    <t>Year 1</t>
  </si>
  <si>
    <t>7.3.2</t>
  </si>
  <si>
    <t>Year 2</t>
  </si>
  <si>
    <t>7.3.3</t>
  </si>
  <si>
    <t>Year 3</t>
  </si>
  <si>
    <t>7.3.4</t>
  </si>
  <si>
    <t>3 Year Total Cost of Ownership</t>
  </si>
  <si>
    <t>Product</t>
  </si>
  <si>
    <t>3 Year TCO</t>
  </si>
  <si>
    <t>1 Year TCO</t>
  </si>
  <si>
    <t>2 Year TCO</t>
  </si>
  <si>
    <t>% Delta</t>
  </si>
  <si>
    <t>Delta</t>
  </si>
  <si>
    <t>CONFIDENTIAL &amp; PRIVATE</t>
  </si>
  <si>
    <t>SVM Toolkit™</t>
  </si>
  <si>
    <t>For Internal Use by NSS Labs Clients Only</t>
  </si>
  <si>
    <t>Installation Labor Cost (@$Labor Cost/hr)</t>
  </si>
  <si>
    <t>Initial Setup Time (Hours) --&gt;</t>
  </si>
  <si>
    <t>Enter in the expected Labor Rate --&gt;</t>
  </si>
  <si>
    <t>-</t>
  </si>
  <si>
    <t xml:space="preserve">Enter your quoted price in the boxes below </t>
  </si>
  <si>
    <t>Initial Purchase (hardware as tested) --&gt;</t>
  </si>
  <si>
    <t>Initial Purchase (enterprise management system) --&gt;</t>
  </si>
  <si>
    <t>Annual Cost of Maintenance &amp; Support (hardware/software) --&gt;</t>
  </si>
  <si>
    <t>Annual Cost of Maintenance &amp; Support (enterprise management) --&gt;</t>
  </si>
  <si>
    <t>Annual Management/Upkeep Labor Cost (per Year @$Labor Cost/hr)</t>
  </si>
  <si>
    <t>Annual Cost</t>
  </si>
  <si>
    <t>Hourly Labor Cost --&gt;</t>
  </si>
  <si>
    <t>Running Totals</t>
  </si>
  <si>
    <t>Total Cost of Ownership (per device)</t>
  </si>
  <si>
    <t>Calculated Cost of Central Management (Purchase)</t>
  </si>
  <si>
    <t>Labor Costs (Central Management)</t>
  </si>
  <si>
    <t>Calculated Central Management + Labor Cost</t>
  </si>
  <si>
    <t>Calculated Annual Labor Cost (Central Management)</t>
  </si>
  <si>
    <t>Central Management</t>
  </si>
  <si>
    <t>Enter in the number of devices --&gt;</t>
  </si>
  <si>
    <t># of Devices --&gt; Linked to Inputs page</t>
  </si>
  <si>
    <t>Product (all devices)</t>
  </si>
  <si>
    <t>Cost Per Year</t>
  </si>
  <si>
    <t>Contact:</t>
  </si>
  <si>
    <t xml:space="preserve">Tel: </t>
  </si>
  <si>
    <t xml:space="preserve">E-mail: </t>
  </si>
  <si>
    <t>info@nsslabs.com</t>
  </si>
  <si>
    <t>Internet:</t>
  </si>
  <si>
    <t xml:space="preserve">http://www.nsslabs.com </t>
  </si>
  <si>
    <t>Austin, Texas 78746</t>
  </si>
  <si>
    <t>Total Cost of Ownership (Products + Central Mgmt)</t>
  </si>
  <si>
    <t>Products + Central Management (Combined Cost)</t>
  </si>
  <si>
    <t>Product Cost (no Central Mgmt)</t>
  </si>
  <si>
    <t>Annual Labor Cost (per device)</t>
  </si>
  <si>
    <t>Product + Labor Cost (no Central Mgmt)</t>
  </si>
  <si>
    <t>Labor Cost Breakdown (per device)</t>
  </si>
  <si>
    <t>More sophisticated buyers also look at a products Total Cost of Ownership</t>
  </si>
  <si>
    <t>And then calculate TCO per PROTECTED Mbps</t>
  </si>
  <si>
    <t>Vendor performance claims are often off the mark</t>
  </si>
  <si>
    <t>And TCO per Protected Mbps using our test results</t>
  </si>
  <si>
    <t>Vendor stated throughput and initial purchase price of a product (Price per Mbps)</t>
  </si>
  <si>
    <t>are often used to determine value</t>
  </si>
  <si>
    <t>So we calculate Purchase Price per Protected Mbps using our test results</t>
  </si>
  <si>
    <t>Industry Average</t>
  </si>
  <si>
    <t>Industry Median</t>
  </si>
  <si>
    <t>NSS Labs Results</t>
  </si>
  <si>
    <t>My Results</t>
  </si>
  <si>
    <t>Enter in the Time Required in the boxes below</t>
  </si>
  <si>
    <t>PASS</t>
  </si>
  <si>
    <t>Lock SVM Axes (Y/N)?</t>
  </si>
  <si>
    <t>TCP Split Handshake</t>
  </si>
  <si>
    <t>4.4.3</t>
  </si>
  <si>
    <t>4.4.4</t>
  </si>
  <si>
    <t>4.4.5</t>
  </si>
  <si>
    <t>64 Byte Packets</t>
  </si>
  <si>
    <t>4.1.6</t>
  </si>
  <si>
    <t>4.2.6</t>
  </si>
  <si>
    <t>Min Price -1</t>
  </si>
  <si>
    <t>Fixed Axis</t>
  </si>
  <si>
    <t>Max Weighted Price</t>
  </si>
  <si>
    <t>Test ID</t>
  </si>
  <si>
    <t>Year 1 Product Cost</t>
  </si>
  <si>
    <t>2 Year TCO*</t>
  </si>
  <si>
    <t>* accumulated cost</t>
  </si>
  <si>
    <t>Microseconds</t>
  </si>
  <si>
    <t>Milliseconds</t>
  </si>
  <si>
    <t xml:space="preserve"> for the Central Management (not per device) </t>
  </si>
  <si>
    <t>Tuning (ACL Config, Hours per Year) --&gt;</t>
  </si>
  <si>
    <t>Annual Tuning Labor Cost (per Year @$Labor Cost/hr)</t>
  </si>
  <si>
    <t xml:space="preserve"> for the total number of devices selected (per device) </t>
  </si>
  <si>
    <t>Year 1 labor Cost</t>
  </si>
  <si>
    <t>7.1.2</t>
  </si>
  <si>
    <t>Time Required for Upkeep (Hours per Year)</t>
  </si>
  <si>
    <t>7.2.7</t>
  </si>
  <si>
    <t>7.2.8</t>
  </si>
  <si>
    <t>7.5.1</t>
  </si>
  <si>
    <t>7.5.2</t>
  </si>
  <si>
    <t>DELTA %</t>
  </si>
  <si>
    <t>Application Average Response Time - HTTP (at 90% Max Load)</t>
  </si>
  <si>
    <t>21 Kbyte Response With Delay</t>
  </si>
  <si>
    <t>10 Kbyte Response With Delay</t>
  </si>
  <si>
    <t>128 Byte Packets - Latency (μs)</t>
  </si>
  <si>
    <t>256 Byte Packets - Latency (μs)</t>
  </si>
  <si>
    <t>512 Byte Packets - Latency (μs)</t>
  </si>
  <si>
    <t>1024 Byte Packets - Latency (μs)</t>
  </si>
  <si>
    <t>1514 Byte Packets - Latency (μs)</t>
  </si>
  <si>
    <t>64 Byte Packets - Latency (μs)</t>
  </si>
  <si>
    <t>2005</t>
  </si>
  <si>
    <t>2006</t>
  </si>
  <si>
    <t>2007</t>
  </si>
  <si>
    <t>2008</t>
  </si>
  <si>
    <t>2009</t>
  </si>
  <si>
    <t>2010</t>
  </si>
  <si>
    <t>2011</t>
  </si>
  <si>
    <t>Exploit Protection</t>
  </si>
  <si>
    <t>Attacker Initiated</t>
  </si>
  <si>
    <t>Target Initiated</t>
  </si>
  <si>
    <t>Overall Block Rate</t>
  </si>
  <si>
    <t>Delta Attacker Initiated</t>
  </si>
  <si>
    <t>Delta Target Initiated</t>
  </si>
  <si>
    <t>Delta Overall</t>
  </si>
  <si>
    <t>Overall Evasion Results</t>
  </si>
  <si>
    <t>IP Packet Fragmentation</t>
  </si>
  <si>
    <t>TCP Stream Segmentation</t>
  </si>
  <si>
    <t>RPC Fragmentation</t>
  </si>
  <si>
    <t>SMB &amp; NetBIOS Evasions</t>
  </si>
  <si>
    <t>URL Obfuscation</t>
  </si>
  <si>
    <t>HTML Obfuscation</t>
  </si>
  <si>
    <t>Payload Encoding</t>
  </si>
  <si>
    <t>FTP Evasion</t>
  </si>
  <si>
    <t>IP Fragmentation + TCP Segmentation</t>
  </si>
  <si>
    <t xml:space="preserve">IP Fragmentation  + MSRPC Fragmentation </t>
  </si>
  <si>
    <t>IP Fragmentation  + SMB Evasions</t>
  </si>
  <si>
    <t>TCP Segmentation + SMB / NETBIOS Evasions</t>
  </si>
  <si>
    <t>both</t>
  </si>
  <si>
    <t>attacker</t>
  </si>
  <si>
    <t>target</t>
  </si>
  <si>
    <t>Attacker Initiated Results</t>
  </si>
  <si>
    <t>Target Initiated Results</t>
  </si>
  <si>
    <t>NSS Labs, Inc.</t>
  </si>
  <si>
    <t xml:space="preserve"> +1 (512) 961-5300</t>
  </si>
  <si>
    <t>Published by NSS Labs, Inc.</t>
  </si>
  <si>
    <t>Upkeep-Patching/Software Updates/Troubleshooting (Hours per Year) --&gt;</t>
  </si>
  <si>
    <t>False Positive Testing</t>
  </si>
  <si>
    <t>Coverage by Attack Vector</t>
  </si>
  <si>
    <t>Combined Total</t>
  </si>
  <si>
    <t>Coverage by Impact Type</t>
  </si>
  <si>
    <t>System Exposure</t>
  </si>
  <si>
    <t>Service Exposure</t>
  </si>
  <si>
    <t>System or Service Fault</t>
  </si>
  <si>
    <t>Coverage by Date</t>
  </si>
  <si>
    <t>Coverage by Target Vendor</t>
  </si>
  <si>
    <t>Coverage by Result</t>
  </si>
  <si>
    <t>Coverage by Target Type</t>
  </si>
  <si>
    <t>Evasions and Attack Leakage</t>
  </si>
  <si>
    <t>Resistance to Evasion</t>
  </si>
  <si>
    <t>Ordered 8 byte fragments</t>
  </si>
  <si>
    <t>Ordered 16 byte fragments</t>
  </si>
  <si>
    <t>Ordered 24 byte fragments</t>
  </si>
  <si>
    <t>Ordered 32 byte fragments</t>
  </si>
  <si>
    <t>Out of order 8 byte fragments</t>
  </si>
  <si>
    <t>Ordered 8 byte fragments, duplicate last packet</t>
  </si>
  <si>
    <t>Out of order 8 byte fragments, duplicate last packet</t>
  </si>
  <si>
    <t>Ordered 8 byte fragments, reorder fragments in reverse</t>
  </si>
  <si>
    <t>Ordered 16 byte fragments, fragment overlap (favor new)</t>
  </si>
  <si>
    <t>Ordered 16 byte fragments, fragment overlap (favor old)</t>
  </si>
  <si>
    <t>Out of order 8 byte fragments, interleaved duplicate packets scheduled for later delivery</t>
  </si>
  <si>
    <t>Ordered 8 byte fragments, duplicate packet with an incrementing DWORD in the options field.  The duplicate packet has random payload.</t>
  </si>
  <si>
    <t>Ordered 16 byte fragments, duplicate packet with an incrementing DWORD in the options field.  The duplicate packet has random payload.</t>
  </si>
  <si>
    <t>Ordered 24 byte fragments, duplicate packet with an incrementing DWORD in the options field.  The duplicate packet has random payload.</t>
  </si>
  <si>
    <t>Ordered 32 byte fragments, duplicate packet with an incrementing DWORD in the options field.  The duplicate packet has random payload.</t>
  </si>
  <si>
    <t>Ordered 1 byte segments, interleaved duplicate segments with invalid TCP checksums</t>
  </si>
  <si>
    <t>Ordered 1 byte segments, interleaved duplicate segments with null TCP control flags</t>
  </si>
  <si>
    <t>Ordered 1 byte segments, interleaved duplicate segments with requests to resync sequence numbers mid-stream</t>
  </si>
  <si>
    <t>Ordered 1 byte segments, duplicate last packet</t>
  </si>
  <si>
    <t>Ordered 2 byte segments, segment overlap (favor new)</t>
  </si>
  <si>
    <t>Ordered 1 byte segments, interleaved duplicate segments with out-of-window sequence numbers</t>
  </si>
  <si>
    <t>Out of order 1 byte segments</t>
  </si>
  <si>
    <t>Out of order 1 byte segments, interleaved duplicate segments with faked retransmits</t>
  </si>
  <si>
    <t>Ordered 1 byte segments, segment overlap (favor new)</t>
  </si>
  <si>
    <t>Out of order 1 byte segments, PAWS elimination (interleaved duplicate segments with older TCP timestamp options)</t>
  </si>
  <si>
    <t>Ordered 16 byte segments, segment overlap (favor new (Unix))</t>
  </si>
  <si>
    <t>Ordered 32 byte segments</t>
  </si>
  <si>
    <t>Ordered 64 byte segments</t>
  </si>
  <si>
    <t>Ordered 128 byte segments</t>
  </si>
  <si>
    <t>Ordered 256 byte segments</t>
  </si>
  <si>
    <t>Ordered 512 byte segments</t>
  </si>
  <si>
    <t>Ordered 1024 byte segments</t>
  </si>
  <si>
    <t>Ordered 2048 byte segments (sending MSRPC request with exploit)</t>
  </si>
  <si>
    <t>Reverse Ordered 256 byte segments, segment overlap (favor new) with random data</t>
  </si>
  <si>
    <t>Reverse Ordered 512 byte segments, segment overlap (favor new) with random data</t>
  </si>
  <si>
    <t>Reverse Ordered 1024 byte segments, segment overlap (favor new) with random data</t>
  </si>
  <si>
    <t>Reverse Ordered 2048 byte segments, segment overlap (favor new) with random data</t>
  </si>
  <si>
    <t>Out of order 1024 byte segments, segment overlap (favor new) with random data, Initial TCP sequence number is set to 0xffffffff - 4294967295</t>
  </si>
  <si>
    <t>Out of order 2048 byte segments, segment overlap (favor new) with random data, Initial TCP sequence number is set to 0xffffffff - 4294967295</t>
  </si>
  <si>
    <t>One-byte fragmentation (ONC)</t>
  </si>
  <si>
    <t>Two-byte fragmentation (ONC)</t>
  </si>
  <si>
    <t>All fragments, including Last Fragment (LF) will be sent in one TCP segment (ONC)</t>
  </si>
  <si>
    <t>All frags except Last Fragment (LF) will be sent in one TCP segment. LF will be sent in separate TCP seg (ONC)</t>
  </si>
  <si>
    <t>One RPC fragment will be sent per TCP segment (ONC)</t>
  </si>
  <si>
    <t>One LF split over more than one TCP segment. In this case no RPC fragmentation is performed (ONC)</t>
  </si>
  <si>
    <t>Canvas Reference Implementation Level 1 (MS)</t>
  </si>
  <si>
    <t>Canvas Reference Implementation Level 2 (MS)</t>
  </si>
  <si>
    <t>Canvas Reference Implementation Level 3 (MS)</t>
  </si>
  <si>
    <t>Canvas Reference Implementation Level 4 (MS)</t>
  </si>
  <si>
    <t>Canvas Reference Implementation Level 5 (MS)</t>
  </si>
  <si>
    <t>Canvas Reference Implementation Level 6 (MS)</t>
  </si>
  <si>
    <t>Canvas Reference Implementation Level 7 (MS)</t>
  </si>
  <si>
    <t>Canvas Reference Implementation Level 8 (MS)</t>
  </si>
  <si>
    <t>Canvas Reference Implementation Level 9 (MS)</t>
  </si>
  <si>
    <t>Canvas Reference Implementation Level 10 (MS)</t>
  </si>
  <si>
    <t>MSRPC messages are sent in the big endian byte order, 16 MSRPC fragments are sent in the same lower layer message, MSRPC requests are fragmented to contain at most 2048 bytes of payload</t>
  </si>
  <si>
    <t>MSRPC messages are sent in the big endian byte order, 32 MSRPC fragments are sent in the same lower layer message, MSRPC requests are fragmented to contain at most 2048 bytes of payload</t>
  </si>
  <si>
    <t>MSRPC messages are sent in the big endian byte order, 64 MSRPC fragments are sent in the same lower layer message, MSRPC requests are fragmented to contain at most 2048 bytes of payload</t>
  </si>
  <si>
    <t>MSRPC messages are sent in the big endian byte order, 128 MSRPC fragments are sent in the same lower layer message, MSRPC requests are fragmented to contain at most 2048 bytes of payload</t>
  </si>
  <si>
    <t>MSRPC messages are sent in the big endian byte order, 256 MSRPC fragments are sent in the same lower layer message, MSRPC requests are fragmented to contain at most 2048 bytes of payload</t>
  </si>
  <si>
    <t>MSRPC messages are sent in the big endian byte order, 512 MSRPC fragments are sent in the same lower layer message, MSRPC requests are fragmented to contain at most 2048 bytes of payload</t>
  </si>
  <si>
    <t>MSRPC messages are sent in the big endian byte order, 1024 MSRPC fragments are sent in the same lower layer message, MSRPC requests are fragmented to contain at most 2048 bytes of payload</t>
  </si>
  <si>
    <t>A chaffed NetBIOS message is sent before the first actual NetBIOS message. The chaff message is an unspecified NetBIOS message with HTTP GET request like payload</t>
  </si>
  <si>
    <t>A chaffed NetBIOS message is sent before the first actual NetBIOS message. The chaff message is an unspecified NetBIOS message with HTTP POST request like payload</t>
  </si>
  <si>
    <t xml:space="preserve">A chaffed NetBIOS message is sent before the first actual NetBIOS message. The chaff message is an unspecified NetBIOS message with MSRPC request like payload </t>
  </si>
  <si>
    <t>URL encoding - Level 1 (minimal)</t>
  </si>
  <si>
    <t>URL encoding - Level 2</t>
  </si>
  <si>
    <t>URL encoding - Level 3</t>
  </si>
  <si>
    <t>URL encoding - Level 4</t>
  </si>
  <si>
    <t>URL encoding - Level 5</t>
  </si>
  <si>
    <t>URL encoding - Level 6</t>
  </si>
  <si>
    <t>URL encoding - Level 7</t>
  </si>
  <si>
    <t>URL encoding - Level 8 (extreme)</t>
  </si>
  <si>
    <t>Directory Insertion</t>
  </si>
  <si>
    <t>Premature URL ending</t>
  </si>
  <si>
    <t>Long URL</t>
  </si>
  <si>
    <t>Fake parameter</t>
  </si>
  <si>
    <t>TAB separation</t>
  </si>
  <si>
    <t>Case sensitivity</t>
  </si>
  <si>
    <t>Windows \ delimiter</t>
  </si>
  <si>
    <t>Session splicing</t>
  </si>
  <si>
    <t xml:space="preserve">UTF-16 character set encoding (big-endian) </t>
  </si>
  <si>
    <t xml:space="preserve">UTF-16 character set encoding (little-endian) </t>
  </si>
  <si>
    <t xml:space="preserve">UTF-32 character set encoding (big-endian) </t>
  </si>
  <si>
    <t xml:space="preserve">UTF-32 character set encoding (little-endian) </t>
  </si>
  <si>
    <t xml:space="preserve">UTF-7 character set encoding </t>
  </si>
  <si>
    <t xml:space="preserve">Chunked encoding (random chunk size) </t>
  </si>
  <si>
    <t xml:space="preserve">Chunked encoding (fixed chunk size) </t>
  </si>
  <si>
    <t>Chunked encoding (chaffing)</t>
  </si>
  <si>
    <t xml:space="preserve">Compression (Deflate) </t>
  </si>
  <si>
    <t xml:space="preserve">Compression (Gzip) </t>
  </si>
  <si>
    <t>Base-64 Encoding</t>
  </si>
  <si>
    <t>Base-64 Encoding (shifting 1 bit)</t>
  </si>
  <si>
    <t>Base-64 Encoding (shifting 2 bits)</t>
  </si>
  <si>
    <t>Base-64 Encoding (chaffing)</t>
  </si>
  <si>
    <t>Combination UTF-7 + Gzip</t>
  </si>
  <si>
    <t>x86/call4_dword_xor</t>
  </si>
  <si>
    <t>x86/fnstenv_mov</t>
  </si>
  <si>
    <t>x86/jmp_call_additive</t>
  </si>
  <si>
    <t>x86/shikata_ga_nai</t>
  </si>
  <si>
    <t>Inserting spaces in FTP command lines</t>
  </si>
  <si>
    <t>Inserting non-text Telnet opcodes - Level 1 (minimal)</t>
  </si>
  <si>
    <t>Inserting non-text Telnet opcodes - Level 2</t>
  </si>
  <si>
    <t>Inserting non-text Telnet opcodes - Level 3</t>
  </si>
  <si>
    <t>Inserting non-text Telnet opcodes - Level 4</t>
  </si>
  <si>
    <t>Inserting non-text Telnet opcodes - Level 5</t>
  </si>
  <si>
    <t>Inserting non-text Telnet opcodes - Level 6</t>
  </si>
  <si>
    <t>Inserting non-text Telnet opcodes - Level 7</t>
  </si>
  <si>
    <t>Inserting non-text Telnet opcodes - Level 8 (extreme)</t>
  </si>
  <si>
    <t>Layered Evasions</t>
  </si>
  <si>
    <t>Ordered 8 byte fragments + Ordered TCP segments except that the last segment comes first</t>
  </si>
  <si>
    <t>Ordered 24 byte fragments + Ordered TCP segments except that the last segment comes first</t>
  </si>
  <si>
    <t>Ordered 32 byte fragments + Ordered TCP segments except that the last segment comes first</t>
  </si>
  <si>
    <t>Ordered 8 byte fragments, duplicate packet with an incrementing DWORD in the options field.  The duplicate packet has random payload + Reverse order TCP segments, segment overlap (favor new), Overlapping data is set to zero bytes</t>
  </si>
  <si>
    <t>Ordered 16 byte fragments, duplicate packet with an incrementing DWORD in the options field.  The duplicate packet has random payload + Out of order TCP segments, segment overlap (favor new), Overlapping data is set to zero bytes</t>
  </si>
  <si>
    <t>Ordered 24 byte fragments, duplicate packet with an incrementing DWORD in the options field.  The duplicate packet has random payload + Out of order TCP segments, segment overlap (favor new), Overlapping data is set to zero bytes</t>
  </si>
  <si>
    <t>Ordered 32 byte fragments, duplicate packet with an incrementing DWORD in the options field.  The duplicate packet has random payload + Out of order TCP segments, segment overlap (favor new), Overlapping data is set to zero bytes</t>
  </si>
  <si>
    <t>Ordered 8 byte fragments, duplicate packet with an incrementing DWORD in the options field.  The duplicate packet has random payload + Out of order TCP segments, segment overlap (favor new), Overlapping data is set to random alphanumeric</t>
  </si>
  <si>
    <t>Ordered 16 byte fragments, duplicate packet with an incrementing DWORD in the options field.  The duplicate packet has random payload + Out of order TCP segments, segment overlap (favor new), Overlapping data is set to random alphanumeric</t>
  </si>
  <si>
    <t>Ordered 32 byte fragments, duplicate packet with an incrementing DWORD in the options field.  The duplicate packet has random payload + Out of order TCP segments, segment overlap (favor new), Overlapping data is set to random alphanumeric</t>
  </si>
  <si>
    <t>Ordered 8 byte fragments, duplicate packet with an incrementing DWORD in the options field.  The duplicate packet has random payload + Out of order TCP segments, segment overlap (favor new), Overlapping data is set to random bytes</t>
  </si>
  <si>
    <t>Ordered 16 byte fragments, duplicate packet with an incrementing DWORD in the options field.  The duplicate packet has random payload + Out of order TCP segments, segment overlap (favor new), Overlapping data is set to random bytes</t>
  </si>
  <si>
    <t>Ordered 24 byte fragments, duplicate packet with an incrementing DWORD in the options field.  The duplicate packet has random payload + Out of order TCP segments, segment overlap (favor new), Overlapping data is set to random bytes</t>
  </si>
  <si>
    <t>Ordered 32 byte fragments, duplicate packet with an incrementing DWORD in the options field.  The duplicate packet has random payload + Out of order TCP segments, segment overlap (favor new), Overlapping data is set to random bytes</t>
  </si>
  <si>
    <t>Ordered 8 byte fragments, duplicate packet with an incrementing DWORD in the options field.  The duplicate packet has a shuffled payload + MSRPC messages are sent in the big endian byte order with 8 MSRPC fragments sent in the same lower layer message. MSRPC requests are fragmented to contain at most 2048 bytes of payload.</t>
  </si>
  <si>
    <t>Ordered 16 byte fragments, duplicate packet with an incrementing DWORD in the options field.  The duplicate packet has a shuffled payload + MSRPC messages are sent in the big endian byte order with 16 MSRPC fragments sent in the same lower layer message. MSRPC requests are fragmented to contain at most 2048 bytes of payload.</t>
  </si>
  <si>
    <t>Ordered 32 byte fragments, duplicate packet with an incrementing DWORD in the options field.  The duplicate packet has a shuffled payload + MSRPC messages are sent in the big endian byte order with 32 MSRPC fragments sent in the same lower layer message. MSRPC requests are fragmented to contain at most 64 bytes of payload.</t>
  </si>
  <si>
    <t>Ordered 64 byte fragments, duplicate packet with an incrementing DWORD in the options field.  The duplicate packet has a shuffled payload + MSRPC messages are sent in the big endian byte order with 64 MSRPC fragments sent in the same lower layer message. MSRPC requests are fragmented to contain at most 64 bytes of payload.</t>
  </si>
  <si>
    <t>Ordered 128 byte fragments, duplicate packet with an incrementing DWORD in the options field.  The duplicate packet has a random payload + MSRPC messages are sent in the big endian byte order with 1024 MSRPC fragments sent in the same lower layer message. MSRPC requests are fragmented to contain at most 128 bytes of payload.</t>
  </si>
  <si>
    <t>Ordered 256 byte fragments, duplicate packet with an incrementing DWORD in the options field.  The duplicate packet has a random payload + MSRPC messages are sent in the big endian byte order with 1024 MSRPC fragments sent in the same lower layer message. MSRPC requests are fragmented to contain at most 256 bytes of payload.</t>
  </si>
  <si>
    <t>Ordered 512 byte fragments, duplicate packet with an incrementing DWORD in the options field.  The duplicate packet has a random payload + MSRPC messages are sent in the big endian byte order with 1024 MSRPC fragments sent in the same lower layer message. MSRPC requests are fragmented to contain at most 512 bytes of payload.</t>
  </si>
  <si>
    <t>Ordered 1024 byte fragments, duplicate packet with an incrementing DWORD in the options field.  The duplicate packet has a random payload + MSRPC messages are sent in the big endian byte order with 1024 MSRPC fragments sent in the same lower layer message. MSRPC requests are fragmented to contain at most 1024 bytes of payload.</t>
  </si>
  <si>
    <t>Ordered 1024 byte fragments, duplicate packet with an incrementing DWORD in the options field.  The duplicate packet has a random payload + SMB chaff message before real messages. The chaff is a WriteAndX message with a broken write mode flag, and has random MSRPC request-like payload</t>
  </si>
  <si>
    <t xml:space="preserve">Ordered 8 byte fragments, duplicate packet with an incrementing DWORD in the options field.  The duplicate packet has a random payload + A chaffed NetBIOS message is sent before the first actual NetBIOS message. The chaff message is an unspecified NetBIOS message with MSRPC request like payload </t>
  </si>
  <si>
    <t>Ordered 8 byte fragments, duplicate packet with an incrementing DWORD in the options field.  The duplicate packet has a random payload + A chaffed NetBIOS message is sent before the first actual NetBIOS message. The chaff message is an unspecified NetBIOS message with HTTP GET request like payload</t>
  </si>
  <si>
    <t>Reverse Ordered 2048 byte TCP segments, segment overlap (favor new) with random data + A chaffed NetBIOS message is sent before the first actual NetBIOS message. The chaff message is an unspecified NetBIOS message with MSRPC request like payload</t>
  </si>
  <si>
    <t>Raw Packet Processing Performance (UDP Traffic)</t>
  </si>
  <si>
    <t>Maximum Capacity</t>
  </si>
  <si>
    <t>HTTP Capacity With No Transaction Delays</t>
  </si>
  <si>
    <t>HTTP CPS &amp; Capacity With Transaction Delays</t>
  </si>
  <si>
    <t>“Real World” Protocol Mix (Enterprise Perimeter)</t>
  </si>
  <si>
    <t>“Real World” Protocol Mix (Financial)</t>
  </si>
  <si>
    <t>“Real World” Protocol Mix (Education)</t>
  </si>
  <si>
    <t>Behavior Of The State Engine Under Load</t>
  </si>
  <si>
    <t>5.3.1</t>
  </si>
  <si>
    <t>Attack Detection/Blocking - Normal Load</t>
  </si>
  <si>
    <t>5.3.2</t>
  </si>
  <si>
    <t>State Preservation - Normal Load</t>
  </si>
  <si>
    <t>5.3.3</t>
  </si>
  <si>
    <t>Pass Legitimate Traffic - Normal Load</t>
  </si>
  <si>
    <t>5.3.4</t>
  </si>
  <si>
    <t>State Preservation - Maximum Exceeded</t>
  </si>
  <si>
    <t>5.3.5</t>
  </si>
  <si>
    <t>Drop Traffic - Maximum Exceeded</t>
  </si>
  <si>
    <t>7.1.3</t>
  </si>
  <si>
    <t>Time Required to Tune (Hours per Year)</t>
  </si>
  <si>
    <t>7.2.5</t>
  </si>
  <si>
    <t>Annual Cost of Updates (IPS/AV/etc.)</t>
  </si>
  <si>
    <t>Management Labor Cost (per Year @$75/hr)</t>
  </si>
  <si>
    <t>Tuning Labor Cost (per Year @$75/hr)</t>
  </si>
  <si>
    <t>N/A</t>
  </si>
  <si>
    <t>Contact NSS</t>
  </si>
  <si>
    <t>Client Evasions</t>
  </si>
  <si>
    <t>Server Evasions</t>
  </si>
  <si>
    <t>COMBINED EVASIONS</t>
  </si>
  <si>
    <t>2012</t>
  </si>
  <si>
    <t>Total</t>
  </si>
  <si>
    <t>Exploits By Exposure Date</t>
  </si>
  <si>
    <t>Block Rate</t>
  </si>
  <si>
    <t>Figure 1</t>
  </si>
  <si>
    <t>Figure 2</t>
  </si>
  <si>
    <t>Figure 3</t>
  </si>
  <si>
    <t>Figure 4</t>
  </si>
  <si>
    <t>Figure 8</t>
  </si>
  <si>
    <t>Figure 9</t>
  </si>
  <si>
    <t>Figure 10</t>
  </si>
  <si>
    <t>Figure 11</t>
  </si>
  <si>
    <t>Figure 12</t>
  </si>
  <si>
    <t>Figure 13</t>
  </si>
  <si>
    <t>Figure 17</t>
  </si>
  <si>
    <t>IPS Exploits and Evasions Combined</t>
  </si>
  <si>
    <t>Exploits &amp; Evasions (Server-Side)</t>
  </si>
  <si>
    <t>Exploits &amp; Evasions (Client-Side)</t>
  </si>
  <si>
    <t>Exploits &amp; Evasions (Combined)</t>
  </si>
  <si>
    <t>And the TCO/Protected Mbps (Security Effectiveness)</t>
  </si>
  <si>
    <t xml:space="preserve">We then modify the Price/Protected-Mbps score so that it reflects the impact of Security Effectiveness: </t>
  </si>
  <si>
    <t>But these are security devices, so we need to consider Block Rate (Protection)</t>
  </si>
  <si>
    <t>206 Wild Basin Road</t>
  </si>
  <si>
    <t>Building A, Suite 200</t>
  </si>
  <si>
    <t>4.0.0.0.1</t>
  </si>
  <si>
    <t>Vendor Claimed Performance</t>
  </si>
  <si>
    <t>2,500 Connections Per Second – 44Kbyte Response</t>
  </si>
  <si>
    <t>2013</t>
  </si>
  <si>
    <t>&lt;=2004</t>
  </si>
  <si>
    <t>Exploit Block Rate</t>
  </si>
  <si>
    <t>Anti-Evasion Rating</t>
  </si>
  <si>
    <t>NSS Rated Throughput</t>
  </si>
  <si>
    <t>Supporting Table to Graph</t>
  </si>
  <si>
    <t>Figure 5</t>
  </si>
  <si>
    <t>Figure 6</t>
  </si>
  <si>
    <t>Figure 7</t>
  </si>
  <si>
    <t>Figure 14</t>
  </si>
  <si>
    <t>Figure 15</t>
  </si>
  <si>
    <t>3-Year TCO</t>
  </si>
  <si>
    <t>Installation  (Hours)</t>
  </si>
  <si>
    <t>Figure 16</t>
  </si>
  <si>
    <t>Table1</t>
  </si>
  <si>
    <t>Table2</t>
  </si>
  <si>
    <t>Table3</t>
  </si>
  <si>
    <t>Table4</t>
  </si>
  <si>
    <t>Table5</t>
  </si>
  <si>
    <t>Table6</t>
  </si>
  <si>
    <t>Table7</t>
  </si>
  <si>
    <t>TCO Analysis</t>
  </si>
  <si>
    <t>Table8</t>
  </si>
  <si>
    <t>Table9</t>
  </si>
  <si>
    <t>Table10</t>
  </si>
  <si>
    <t>Table11</t>
  </si>
  <si>
    <t>Table12</t>
  </si>
  <si>
    <t>Table13</t>
  </si>
  <si>
    <t>NSS Results</t>
  </si>
  <si>
    <t>Vendor-Claimed Throughput (Mbps)</t>
  </si>
  <si>
    <t>44 KB Response (Mbps)</t>
  </si>
  <si>
    <t>10 KB Response (Mbps)</t>
  </si>
  <si>
    <t>4.5 KB Response (Mbps)</t>
  </si>
  <si>
    <t>1.7 KB Response (Mbps)</t>
  </si>
  <si>
    <t>44 KB Response</t>
  </si>
  <si>
    <t>21 KB Response</t>
  </si>
  <si>
    <t>10 KB Response</t>
  </si>
  <si>
    <t>4.5 KB Response</t>
  </si>
  <si>
    <t>1.7 KB Response</t>
  </si>
  <si>
    <t>44 KB Latency (ms)</t>
  </si>
  <si>
    <t>21 KB Latency (ms)</t>
  </si>
  <si>
    <t>10 KB Latency (ms)</t>
  </si>
  <si>
    <t>4.5 KB Latency (ms)</t>
  </si>
  <si>
    <t>21 KB Response (Mbps)</t>
  </si>
  <si>
    <t>21 KB Response With Delay</t>
  </si>
  <si>
    <t>10 KB Response With Delay</t>
  </si>
  <si>
    <t>Accumulated 2-Year TCO</t>
  </si>
  <si>
    <t>1-Year TCO</t>
  </si>
  <si>
    <t>Overall TCO Per Protected Mbps</t>
  </si>
  <si>
    <t>Security Effectiveness Value</t>
  </si>
  <si>
    <t>Microsoft</t>
  </si>
  <si>
    <t>Oracle</t>
  </si>
  <si>
    <t>IBM</t>
  </si>
  <si>
    <t>Adobe</t>
  </si>
  <si>
    <t>Purchase Price</t>
  </si>
  <si>
    <t>NSS-Tested Throughput (Mbps)</t>
  </si>
  <si>
    <t>NSS-Tested Throughput + Security Effectiveness</t>
  </si>
  <si>
    <t>Tuning (Ongoing time required to configure the policy, Hours per Year) --&gt;</t>
  </si>
  <si>
    <t>Upkeep (Time required for administration, monitoring, reporting, maintenance, troubleshooting, etc. Hours per Year) --&gt;</t>
  </si>
  <si>
    <t>Additional tables</t>
  </si>
  <si>
    <t>The tables below show how the perceived vs. actual value of a product can change…</t>
  </si>
  <si>
    <t>3.1.7</t>
  </si>
  <si>
    <t>Block Unwanted Applications</t>
  </si>
  <si>
    <t>3.4.1</t>
  </si>
  <si>
    <t>3.5.1</t>
  </si>
  <si>
    <t>3.5.2</t>
  </si>
  <si>
    <t>Annual Cost of Maintenance &amp; Support (Enterprise Management System)</t>
  </si>
  <si>
    <t>Initial Purchase (Enterprise Management System)</t>
  </si>
  <si>
    <t>1.7 KB Response ((ms)</t>
  </si>
  <si>
    <t>TCO PerProtected Mbps</t>
  </si>
  <si>
    <t>Stability and Reliability</t>
  </si>
  <si>
    <t xml:space="preserve">Apple </t>
  </si>
  <si>
    <t>Average Block Rate</t>
  </si>
  <si>
    <t>Average Security Effectiveness</t>
  </si>
  <si>
    <t>see table 3</t>
  </si>
  <si>
    <t>Evasions</t>
  </si>
  <si>
    <t>Redundancy*</t>
  </si>
  <si>
    <t>TCO Per Protected Mbps</t>
  </si>
  <si>
    <t>TCO per Protected-Mbps</t>
  </si>
  <si>
    <t>Initial Purchase Price per Device (Hardware as Tested)</t>
  </si>
  <si>
    <t>Initial Purchase Price (CMS)</t>
  </si>
  <si>
    <t>Annual Cost of Maintenance and Support (CMS)</t>
  </si>
  <si>
    <t xml:space="preserve">Annual Cost for Signature Updates </t>
  </si>
  <si>
    <t>Annual Cost of Maintenance and Support (Hardware/Software)</t>
  </si>
  <si>
    <t>Maintenance per Year</t>
  </si>
  <si>
    <t>TCO per Mbps</t>
  </si>
  <si>
    <t xml:space="preserve">TCO per Protected-Mbps </t>
  </si>
  <si>
    <t xml:space="preserve">TCO per Protected-Mbps  </t>
  </si>
  <si>
    <t>Evasion Results</t>
  </si>
  <si>
    <t>My Custom Results</t>
  </si>
  <si>
    <t>Change criteria below to change scores</t>
  </si>
  <si>
    <t>Scoring:</t>
  </si>
  <si>
    <t>Intrusion Prevention Policies</t>
  </si>
  <si>
    <t>3.1.2.1</t>
  </si>
  <si>
    <t>3.1.2.2</t>
  </si>
  <si>
    <t>3.1.2.5</t>
  </si>
  <si>
    <t>3.1.3.1</t>
  </si>
  <si>
    <t>3.1.3.2</t>
  </si>
  <si>
    <t>3.1.3.3</t>
  </si>
  <si>
    <t>Application Control (Optional)</t>
  </si>
  <si>
    <t>User / Group ID Aware Policies (Optional)</t>
  </si>
  <si>
    <t>Users Defined via NGIPS Integration with Active Directory</t>
  </si>
  <si>
    <t>Users Defined in NGIPS DB (Alternate to 3.5.1)</t>
  </si>
  <si>
    <t>3.6.0</t>
  </si>
  <si>
    <t>3.6.1</t>
  </si>
  <si>
    <t>3.6.1.1</t>
  </si>
  <si>
    <t>3.6.1.2</t>
  </si>
  <si>
    <t>3.6.1.3</t>
  </si>
  <si>
    <t>3.6.1.4</t>
  </si>
  <si>
    <t>3.6.1.5</t>
  </si>
  <si>
    <t>3.6.1.6</t>
  </si>
  <si>
    <t>3.6.1.7</t>
  </si>
  <si>
    <t>3.6.1.8</t>
  </si>
  <si>
    <t>3.6.1.9</t>
  </si>
  <si>
    <t>3.6.1.10</t>
  </si>
  <si>
    <t>3.6.1.11</t>
  </si>
  <si>
    <t>3.6.1.12</t>
  </si>
  <si>
    <t>3.6.1.13</t>
  </si>
  <si>
    <t>3.6.1.14</t>
  </si>
  <si>
    <t>3.6.1.15</t>
  </si>
  <si>
    <t>3.6.2</t>
  </si>
  <si>
    <t>3.6.2.1</t>
  </si>
  <si>
    <t>3.6.2.2</t>
  </si>
  <si>
    <t>3.6.2.3</t>
  </si>
  <si>
    <t>3.6.2.4</t>
  </si>
  <si>
    <t>3.6.2.5</t>
  </si>
  <si>
    <t>3.6.2.6</t>
  </si>
  <si>
    <t>3.6.2.7</t>
  </si>
  <si>
    <t>3.6.2.8</t>
  </si>
  <si>
    <t>3.6.2.9</t>
  </si>
  <si>
    <t>3.6.2.10</t>
  </si>
  <si>
    <t>3.6.2.11</t>
  </si>
  <si>
    <t>3.6.2.12</t>
  </si>
  <si>
    <t>3.6.2.13</t>
  </si>
  <si>
    <t>3.6.2.14</t>
  </si>
  <si>
    <t>3.6.2.15</t>
  </si>
  <si>
    <t>3.6.2.16</t>
  </si>
  <si>
    <t>3.6.2.17</t>
  </si>
  <si>
    <t>3.6.2.18</t>
  </si>
  <si>
    <t>3.6.2.19</t>
  </si>
  <si>
    <t>3.6.2.20</t>
  </si>
  <si>
    <t>3.6.2.21</t>
  </si>
  <si>
    <t>3.6.2.22</t>
  </si>
  <si>
    <t>3.6.2.24</t>
  </si>
  <si>
    <t>3.6.2.25</t>
  </si>
  <si>
    <t>3.6.3</t>
  </si>
  <si>
    <t>3.6.3.1</t>
  </si>
  <si>
    <t>3.6.3.2</t>
  </si>
  <si>
    <t>3.6.3.3</t>
  </si>
  <si>
    <t>3.6.3.4</t>
  </si>
  <si>
    <t>3.6.3.5</t>
  </si>
  <si>
    <t>3.6.3.6</t>
  </si>
  <si>
    <t>3.6.3.7</t>
  </si>
  <si>
    <t>3.6.3.8</t>
  </si>
  <si>
    <t>3.6.3.9</t>
  </si>
  <si>
    <t>3.6.3.10</t>
  </si>
  <si>
    <t>3.6.3.11</t>
  </si>
  <si>
    <t>3.6.3.12</t>
  </si>
  <si>
    <t>3.6.3.13</t>
  </si>
  <si>
    <t>3.6.3.14</t>
  </si>
  <si>
    <t>3.6.3.15</t>
  </si>
  <si>
    <t>3.6.3.16</t>
  </si>
  <si>
    <t>3.6.3.17</t>
  </si>
  <si>
    <t>3.6.3.18</t>
  </si>
  <si>
    <t>3.6.3.19</t>
  </si>
  <si>
    <t>3.6.3.20</t>
  </si>
  <si>
    <t>3.6.3.21</t>
  </si>
  <si>
    <t>3.6.3.22</t>
  </si>
  <si>
    <t>3.6.3.23</t>
  </si>
  <si>
    <t>3.6.4</t>
  </si>
  <si>
    <t>3.6.4.1</t>
  </si>
  <si>
    <t>3.6.4.2</t>
  </si>
  <si>
    <t>3.6.4.3</t>
  </si>
  <si>
    <t>3.6.5</t>
  </si>
  <si>
    <t>3.6.5.1</t>
  </si>
  <si>
    <t>3.6.5.2</t>
  </si>
  <si>
    <t>3.6.5.3</t>
  </si>
  <si>
    <t>3.6.5.4</t>
  </si>
  <si>
    <t>3.6.5.5</t>
  </si>
  <si>
    <t>3.6.5.6</t>
  </si>
  <si>
    <t>3.6.5.7</t>
  </si>
  <si>
    <t>3.6.5.8</t>
  </si>
  <si>
    <t>3.6.5.9</t>
  </si>
  <si>
    <t>3.6.5.10</t>
  </si>
  <si>
    <t>3.6.5.11</t>
  </si>
  <si>
    <t>3.6.5.12</t>
  </si>
  <si>
    <t>3.6.5.13</t>
  </si>
  <si>
    <t>3.6.5.14</t>
  </si>
  <si>
    <t>3.6.5.15</t>
  </si>
  <si>
    <t>3.6.5.16</t>
  </si>
  <si>
    <t>3.6.6</t>
  </si>
  <si>
    <t>3.6.6.1</t>
  </si>
  <si>
    <t>3.6.6.2</t>
  </si>
  <si>
    <t>3.6.6.3</t>
  </si>
  <si>
    <t>3.6.6.4</t>
  </si>
  <si>
    <t>3.6.6.5</t>
  </si>
  <si>
    <t>3.6.6.6</t>
  </si>
  <si>
    <t>3.6.6.7</t>
  </si>
  <si>
    <t>3.6.6.8</t>
  </si>
  <si>
    <t>3.6.6.9</t>
  </si>
  <si>
    <t>3.6.6.10</t>
  </si>
  <si>
    <t>3.6.6.11</t>
  </si>
  <si>
    <t>3.6.6.12</t>
  </si>
  <si>
    <t>3.6.6.13</t>
  </si>
  <si>
    <t>3.6.6.14</t>
  </si>
  <si>
    <t>3.6.6.15</t>
  </si>
  <si>
    <t>3.6.8</t>
  </si>
  <si>
    <t>3.6.8.1</t>
  </si>
  <si>
    <t>3.6.8.2</t>
  </si>
  <si>
    <t>3.6.8.3</t>
  </si>
  <si>
    <t>3.6.8.4</t>
  </si>
  <si>
    <t>3.6.7</t>
  </si>
  <si>
    <t>3.6.7.1</t>
  </si>
  <si>
    <t>3.6.7.2</t>
  </si>
  <si>
    <t>3.6.7.3</t>
  </si>
  <si>
    <t>3.6.7.4</t>
  </si>
  <si>
    <t>3.6.7.5</t>
  </si>
  <si>
    <t>3.6.7.6</t>
  </si>
  <si>
    <t>3.6.7.7</t>
  </si>
  <si>
    <t>3.6.7.8</t>
  </si>
  <si>
    <t>3.6.7.9</t>
  </si>
  <si>
    <t>3.6.9</t>
  </si>
  <si>
    <t>3.6.9.1</t>
  </si>
  <si>
    <t>3.6.9.1.1</t>
  </si>
  <si>
    <t>3.6.9.1.2</t>
  </si>
  <si>
    <t>3.6.9.1.3</t>
  </si>
  <si>
    <t>3.6.9.1.4</t>
  </si>
  <si>
    <t>3.6.9.1.5</t>
  </si>
  <si>
    <t>3.6.9.1.6</t>
  </si>
  <si>
    <t>3.6.9.1.7</t>
  </si>
  <si>
    <t>3.6.9.1.8</t>
  </si>
  <si>
    <t>3.6.9.1.9</t>
  </si>
  <si>
    <t>3.6.9.1.10</t>
  </si>
  <si>
    <t>3.6.9.1.11</t>
  </si>
  <si>
    <t>3.6.9.1.12</t>
  </si>
  <si>
    <t>3.6.9.1.13</t>
  </si>
  <si>
    <t>3.6.9.1.14</t>
  </si>
  <si>
    <t>3.6.9.2</t>
  </si>
  <si>
    <t>3.6.9.2.1</t>
  </si>
  <si>
    <t>3.6.9.2.2</t>
  </si>
  <si>
    <t>3.6.9.2.3</t>
  </si>
  <si>
    <t>3.6.9.2.4</t>
  </si>
  <si>
    <t>3.6.9.2.5</t>
  </si>
  <si>
    <t>3.6.9.2.6</t>
  </si>
  <si>
    <t>3.6.9.2.7</t>
  </si>
  <si>
    <t>3.6.9.2.8</t>
  </si>
  <si>
    <t>3.6.9.3</t>
  </si>
  <si>
    <t>3.6.9.3.1</t>
  </si>
  <si>
    <t>3.6.9.3.2</t>
  </si>
  <si>
    <t>3.6.9.3.3</t>
  </si>
  <si>
    <t>3.6.9.4</t>
  </si>
  <si>
    <t>3.6.9.4.1</t>
  </si>
  <si>
    <t>3.6.10</t>
  </si>
  <si>
    <t>4.6.2</t>
  </si>
  <si>
    <t xml:space="preserve">Exploit Block Rate  x Evasions x Stability &amp; Reliability </t>
  </si>
  <si>
    <r>
      <t>Security Effectiveness</t>
    </r>
    <r>
      <rPr>
        <b/>
        <i/>
        <sz val="9"/>
        <color rgb="FF000000"/>
        <rFont val="Calibri"/>
        <family val="2"/>
        <scheme val="minor"/>
      </rPr>
      <t xml:space="preserve"> </t>
    </r>
  </si>
  <si>
    <t>Purchase Price per Mbps</t>
  </si>
  <si>
    <t>Purchase Price per Protected-Mbps</t>
  </si>
  <si>
    <t>Price per Protected-Mbps</t>
  </si>
  <si>
    <t xml:space="preserve">Price per Protected-Mbps  </t>
  </si>
  <si>
    <t xml:space="preserve">Price per Protected-Mbps </t>
  </si>
  <si>
    <t>NSS Value -- This is the price you should be paying for this product based upon NSS test results</t>
  </si>
  <si>
    <t>Table2 (Figure 4)</t>
  </si>
  <si>
    <t>Figure 18/19 see Table 5</t>
  </si>
  <si>
    <t>NGIPS</t>
  </si>
  <si>
    <t>Intrusion Prevention Policies - Static and Live Exploits</t>
  </si>
  <si>
    <t>Live (Real-Time) Drive-by Exploits</t>
  </si>
  <si>
    <t>3.2.1</t>
  </si>
  <si>
    <t>Live Exploits Blocked</t>
  </si>
  <si>
    <t>3.2.2</t>
  </si>
  <si>
    <t>Live Exploit Reputation (Optional)</t>
  </si>
  <si>
    <t>4.3.6</t>
  </si>
  <si>
    <t>4.3.7</t>
  </si>
  <si>
    <t>4.6.3</t>
  </si>
  <si>
    <t>4.6.4</t>
  </si>
  <si>
    <t>4.6.5</t>
  </si>
  <si>
    <t>4.7.1</t>
  </si>
  <si>
    <t>4.7.2</t>
  </si>
  <si>
    <t>“Real World” Protocol Mix (Enterprise Core)</t>
  </si>
  <si>
    <t>4.7.3</t>
  </si>
  <si>
    <t>4.7.4</t>
  </si>
  <si>
    <t>Initial Purchase (centralized management system)</t>
  </si>
  <si>
    <t>Annual Cost of Maintenance &amp; Support (centralized management system)</t>
  </si>
  <si>
    <t>YES</t>
  </si>
  <si>
    <t xml:space="preserve">© 2015 NSS Labs, Inc. All rights reserved. No part of this publication may be reproduced, copied/scanned, stored on a retrieval system, e-mailed or otherwise disseminated or transmitted without the express written consent of NSS Labs, Inc. (“us” or “we”). 
Please read the disclaimer in this box because it contains important information that binds you. If you do not agree to these conditions, you should not read the rest of this report but should instead return the report immediately to us. “You” or “your” means the person who accesses this report and any entity on whose behalf he/she has obtained this report. 
1. The information in this report is subject to change by us without notice, and we disclaim any obligation to update it.
2. The information in this report is believed by us to be accurate and reliable at the time of publication, but is not guaranteed. All use of and reliance on this report are at your sole risk. We are not liable or responsible for any damages, losses, or expenses of any nature whatsoever arising from any error or omission in this report.
3. NO WARRANTIES, EXPRESS OR IMPLIED ARE GIVEN BY US. ALL IMPLIED WARRANTIES, INCLUDING IMPLIED WARRANTIES OF MERCHANTABILITY, FITNESS FOR A PARTICULAR PURPOSE, AND NON-INFRINGEMENT, ARE HEREBY DISCLAIMED AND EXCLUDED BY US. IN NO EVENT SHALL WE BE LIABLE FOR ANY DIRECT, CONSEQUENTIAL, INCIDENTAL, PUNITIVE, EXEMPLARY, OR INDIRECT DAMAGES, OR FOR ANY LOSS OF PROFIT, REVENUE, DATA, COMPUTER PROGRAMS, OR OTHER ASSETS, EVEN IF ADVISED OF THE POSSIBILITY THEREOF.
4. This report does not constitute an endorsement, recommendation, or guarantee of any of the products (hardware or software) tested or the hardware and/or software used in testing the products. The testing does not guarantee that there are no errors or defects in the products or that the products will meet your expectations, requirements, needs, or specifications, or that they will operate without interruption. 
5. This report does not imply any endorsement, sponsorship, affiliation, or verification by or with any organizations mentioned in this report. 
6. All trademarks, service marks, and trade names used in this report are the trademarks, service marks, and trade names of their respective owners. 
</t>
  </si>
  <si>
    <r>
      <t>© 2015</t>
    </r>
    <r>
      <rPr>
        <sz val="12"/>
        <color theme="1"/>
        <rFont val="Calibri"/>
        <family val="2"/>
        <scheme val="minor"/>
      </rPr>
      <t xml:space="preserve"> NSS Labs</t>
    </r>
  </si>
  <si>
    <t>Max weighted TCO</t>
  </si>
  <si>
    <t>HP TippingPoint S7500NX</t>
  </si>
  <si>
    <t>Palo Alto Networks PA-5020</t>
  </si>
  <si>
    <t>Fortinet FortiGate-1500D</t>
  </si>
  <si>
    <t>Cisco FirePOWER 8350</t>
  </si>
  <si>
    <t>20K Diff</t>
  </si>
  <si>
    <t>Y</t>
  </si>
  <si>
    <t>Vendor</t>
  </si>
  <si>
    <t>TOTAL Exploit</t>
  </si>
  <si>
    <t>Missed</t>
  </si>
  <si>
    <t>Blocked</t>
  </si>
  <si>
    <t>BlockRate</t>
  </si>
  <si>
    <t>MissRate</t>
  </si>
  <si>
    <t>Fortinet</t>
  </si>
  <si>
    <t>HP</t>
  </si>
  <si>
    <t>PAN</t>
  </si>
  <si>
    <t>SOURCEFIRE</t>
  </si>
  <si>
    <t>Exploit Library and Live (Real-Time) Drive-by Exploits</t>
  </si>
  <si>
    <t>Combined Total (Exploit Library)</t>
  </si>
  <si>
    <t>IBM Security Network Protection XGS 5100</t>
  </si>
  <si>
    <t>IBM Security Network Protection XGS 7100</t>
  </si>
  <si>
    <t>2014</t>
  </si>
  <si>
    <t>Live Exploit Coverage</t>
  </si>
  <si>
    <t>Median TCO Per Protected Mbps</t>
  </si>
  <si>
    <t>Median Overall TCO Per Protected Mbps</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</si>
</sst>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0.0%"/>
    <numFmt numFmtId="165" formatCode="&quot;$&quot;#,##0"/>
    <numFmt numFmtId="166" formatCode="_(* #,##0_);_(* \(#,##0\);_(* &quot;-&quot;??_);_(@_)"/>
    <numFmt numFmtId="167" formatCode="_(&quot;$&quot;* #,##0_);_(&quot;$&quot;* \(#,##0\);_(&quot;$&quot;* &quot;-&quot;??_);_(@_)"/>
    <numFmt numFmtId="168" formatCode="[$-409]mmmm\ d\,\ yyyy;@"/>
    <numFmt numFmtId="169" formatCode="#,##0.0"/>
    <numFmt numFmtId="170" formatCode="#,##0.0000"/>
    <numFmt numFmtId="171" formatCode="#,##0.0_);\(#,##0.0\)"/>
  </numFmts>
  <fonts count="85">
    <font>
      <sz val="11"/>
      <color theme="1"/>
      <name val="Calibri"/>
      <family val="2"/>
      <scheme val="minor"/>
    </font>
    <font>
      <sz val="12"/>
      <color theme="1"/>
      <name val="Calibri"/>
      <family val="2"/>
      <charset val="136"/>
      <scheme val="minor"/>
    </font>
    <font>
      <sz val="12"/>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
      <sz val="12"/>
      <color rgb="FF3F3F76"/>
      <name val="Calibri"/>
      <family val="2"/>
      <scheme val="minor"/>
    </font>
    <font>
      <b/>
      <sz val="12"/>
      <color rgb="FFFA7D00"/>
      <name val="Calibri"/>
      <family val="2"/>
      <scheme val="minor"/>
    </font>
    <font>
      <sz val="22"/>
      <color rgb="FFFF0000"/>
      <name val="Arial"/>
      <family val="2"/>
    </font>
    <font>
      <sz val="8"/>
      <name val="Calibri"/>
      <family val="2"/>
      <scheme val="minor"/>
    </font>
    <font>
      <sz val="11"/>
      <color theme="1"/>
      <name val="Verdana"/>
      <family val="2"/>
    </font>
    <font>
      <u/>
      <sz val="11"/>
      <color theme="10"/>
      <name val="Calibri"/>
      <family val="2"/>
    </font>
    <font>
      <b/>
      <sz val="22"/>
      <color rgb="FF595959"/>
      <name val="Verdana"/>
      <family val="2"/>
    </font>
    <font>
      <b/>
      <i/>
      <sz val="12"/>
      <color rgb="FFFF0000"/>
      <name val="Calibri"/>
      <family val="2"/>
      <scheme val="minor"/>
    </font>
    <font>
      <u/>
      <sz val="12"/>
      <color rgb="FF003399"/>
      <name val="Calibri"/>
      <family val="2"/>
      <scheme val="minor"/>
    </font>
    <font>
      <u/>
      <sz val="12"/>
      <color theme="10"/>
      <name val="Calibri"/>
      <family val="2"/>
      <scheme val="minor"/>
    </font>
    <font>
      <b/>
      <sz val="14"/>
      <color theme="1" tint="0.249977111117893"/>
      <name val="Calibri"/>
      <family val="2"/>
      <scheme val="minor"/>
    </font>
    <font>
      <sz val="11"/>
      <color rgb="FF00000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mbria"/>
      <family val="2"/>
      <scheme val="major"/>
    </font>
    <font>
      <sz val="11"/>
      <color rgb="FF3F3F76"/>
      <name val="Calibri"/>
      <family val="2"/>
      <scheme val="minor"/>
    </font>
    <font>
      <b/>
      <sz val="11"/>
      <color rgb="FFFA7D00"/>
      <name val="Calibri"/>
      <family val="2"/>
      <scheme val="minor"/>
    </font>
    <font>
      <sz val="10"/>
      <color rgb="FF000000"/>
      <name val="Calibri"/>
      <family val="2"/>
      <scheme val="minor"/>
    </font>
    <font>
      <sz val="10"/>
      <color theme="1"/>
      <name val="Calibri"/>
      <family val="2"/>
      <scheme val="minor"/>
    </font>
    <font>
      <b/>
      <sz val="10"/>
      <name val="Calibri"/>
      <family val="2"/>
      <scheme val="minor"/>
    </font>
    <font>
      <b/>
      <sz val="10"/>
      <color theme="1"/>
      <name val="Calibri"/>
      <family val="2"/>
      <scheme val="minor"/>
    </font>
    <font>
      <b/>
      <sz val="10"/>
      <color theme="0"/>
      <name val="Calibri"/>
      <family val="2"/>
      <scheme val="minor"/>
    </font>
    <font>
      <sz val="10"/>
      <name val="Calibri"/>
      <family val="2"/>
      <scheme val="minor"/>
    </font>
    <font>
      <sz val="10"/>
      <color theme="0"/>
      <name val="Calibri"/>
      <family val="2"/>
      <scheme val="minor"/>
    </font>
    <font>
      <sz val="10"/>
      <color theme="1"/>
      <name val="Calibri"/>
      <family val="2"/>
      <charset val="136"/>
      <scheme val="minor"/>
    </font>
    <font>
      <b/>
      <sz val="10"/>
      <color theme="0"/>
      <name val="Calibri"/>
      <family val="2"/>
      <charset val="136"/>
      <scheme val="minor"/>
    </font>
    <font>
      <b/>
      <sz val="10"/>
      <name val="Calibri"/>
      <family val="2"/>
      <charset val="136"/>
      <scheme val="minor"/>
    </font>
    <font>
      <b/>
      <sz val="10"/>
      <color rgb="FF000000"/>
      <name val="Calibri"/>
      <family val="2"/>
      <charset val="136"/>
      <scheme val="minor"/>
    </font>
    <font>
      <sz val="10"/>
      <color rgb="FF000000"/>
      <name val="Calibri"/>
      <family val="2"/>
      <charset val="136"/>
      <scheme val="minor"/>
    </font>
    <font>
      <b/>
      <sz val="10"/>
      <color rgb="FFFA7D00"/>
      <name val="Calibri"/>
      <family val="2"/>
      <charset val="136"/>
      <scheme val="minor"/>
    </font>
    <font>
      <b/>
      <sz val="10"/>
      <color rgb="FFFFFFFF"/>
      <name val="Calibri"/>
      <family val="2"/>
      <charset val="136"/>
      <scheme val="minor"/>
    </font>
    <font>
      <b/>
      <sz val="10"/>
      <color rgb="FF3366FF"/>
      <name val="Calibri"/>
      <family val="2"/>
      <scheme val="minor"/>
    </font>
    <font>
      <sz val="10"/>
      <color rgb="FF3366FF"/>
      <name val="Calibri"/>
      <family val="2"/>
      <scheme val="minor"/>
    </font>
    <font>
      <sz val="9"/>
      <name val="Calibri"/>
      <family val="2"/>
      <charset val="136"/>
      <scheme val="minor"/>
    </font>
    <font>
      <sz val="9"/>
      <color theme="1"/>
      <name val="Calibri"/>
      <family val="2"/>
      <charset val="136"/>
      <scheme val="minor"/>
    </font>
    <font>
      <b/>
      <sz val="9"/>
      <color theme="0"/>
      <name val="Calibri"/>
      <family val="2"/>
      <charset val="136"/>
      <scheme val="minor"/>
    </font>
    <font>
      <b/>
      <sz val="9"/>
      <color theme="1"/>
      <name val="Calibri"/>
      <family val="2"/>
      <charset val="136"/>
      <scheme val="minor"/>
    </font>
    <font>
      <b/>
      <sz val="9"/>
      <color rgb="FF000000"/>
      <name val="Calibri"/>
      <family val="2"/>
      <charset val="136"/>
      <scheme val="minor"/>
    </font>
    <font>
      <sz val="9"/>
      <color rgb="FF000000"/>
      <name val="Calibri"/>
      <family val="2"/>
      <charset val="136"/>
      <scheme val="minor"/>
    </font>
    <font>
      <sz val="9"/>
      <color rgb="FF000000"/>
      <name val="Calibri"/>
      <family val="2"/>
      <scheme val="minor"/>
    </font>
    <font>
      <b/>
      <sz val="9"/>
      <color rgb="FF3F3F76"/>
      <name val="Calibri"/>
      <family val="2"/>
      <charset val="136"/>
      <scheme val="minor"/>
    </font>
    <font>
      <b/>
      <sz val="9"/>
      <name val="Calibri"/>
      <family val="2"/>
      <charset val="136"/>
      <scheme val="minor"/>
    </font>
    <font>
      <sz val="9"/>
      <color rgb="FF3F3F76"/>
      <name val="Calibri"/>
      <family val="2"/>
      <charset val="136"/>
      <scheme val="minor"/>
    </font>
    <font>
      <b/>
      <sz val="9"/>
      <color rgb="FFFA7D00"/>
      <name val="Calibri"/>
      <family val="2"/>
      <charset val="136"/>
      <scheme val="minor"/>
    </font>
    <font>
      <b/>
      <sz val="9"/>
      <color rgb="FFFFFFFF"/>
      <name val="Calibri"/>
      <family val="2"/>
      <charset val="136"/>
      <scheme val="minor"/>
    </font>
    <font>
      <b/>
      <sz val="9"/>
      <color theme="1"/>
      <name val="Calibri"/>
      <family val="2"/>
      <scheme val="minor"/>
    </font>
    <font>
      <b/>
      <sz val="9"/>
      <name val="Calibri"/>
      <family val="2"/>
      <scheme val="minor"/>
    </font>
    <font>
      <sz val="9"/>
      <color theme="1"/>
      <name val="Calibri"/>
      <family val="2"/>
      <scheme val="minor"/>
    </font>
    <font>
      <b/>
      <sz val="9"/>
      <color theme="0"/>
      <name val="Calibri"/>
      <family val="2"/>
      <scheme val="minor"/>
    </font>
    <font>
      <b/>
      <sz val="9"/>
      <color rgb="FF000000"/>
      <name val="Calibri"/>
      <family val="2"/>
      <scheme val="minor"/>
    </font>
    <font>
      <sz val="9"/>
      <name val="Calibri"/>
      <family val="2"/>
      <scheme val="minor"/>
    </font>
    <font>
      <b/>
      <sz val="9"/>
      <color rgb="FFFF0000"/>
      <name val="Calibri"/>
      <family val="2"/>
      <scheme val="minor"/>
    </font>
    <font>
      <b/>
      <sz val="9"/>
      <color rgb="FFFFFFFF"/>
      <name val="Calibri"/>
      <family val="2"/>
      <scheme val="minor"/>
    </font>
    <font>
      <sz val="9"/>
      <color rgb="FF333333"/>
      <name val="Calibri"/>
      <family val="2"/>
      <scheme val="minor"/>
    </font>
    <font>
      <sz val="9"/>
      <color theme="0"/>
      <name val="Calibri"/>
      <family val="2"/>
      <scheme val="minor"/>
    </font>
    <font>
      <i/>
      <sz val="9"/>
      <color theme="1"/>
      <name val="Calibri"/>
      <family val="2"/>
      <scheme val="minor"/>
    </font>
    <font>
      <b/>
      <i/>
      <sz val="9"/>
      <color rgb="FF000000"/>
      <name val="Calibri"/>
      <family val="2"/>
      <scheme val="minor"/>
    </font>
    <font>
      <sz val="9"/>
      <color rgb="FF3F3F76"/>
      <name val="Calibri"/>
      <family val="2"/>
      <scheme val="minor"/>
    </font>
    <font>
      <b/>
      <sz val="9"/>
      <color rgb="FF4D4E53"/>
      <name val="Calibri"/>
      <family val="2"/>
      <scheme val="minor"/>
    </font>
    <font>
      <sz val="10"/>
      <color rgb="FF000000"/>
      <name val="Calibri"/>
      <scheme val="minor"/>
    </font>
    <font>
      <sz val="10"/>
      <color rgb="FFFFFFFF"/>
      <name val="Calibri"/>
      <family val="2"/>
      <scheme val="minor"/>
    </font>
    <font>
      <sz val="10"/>
      <color rgb="FF963634"/>
      <name val="Calibri"/>
      <family val="2"/>
      <scheme val="minor"/>
    </font>
    <font>
      <i/>
      <sz val="10"/>
      <color rgb="FF000000"/>
      <name val="Calibri"/>
      <family val="2"/>
      <scheme val="minor"/>
    </font>
    <font>
      <sz val="9"/>
      <color rgb="FFFFFFFF"/>
      <name val="Calibri"/>
      <family val="2"/>
      <scheme val="minor"/>
    </font>
    <font>
      <sz val="9"/>
      <color rgb="FF963634"/>
      <name val="Calibri"/>
      <family val="2"/>
      <scheme val="minor"/>
    </font>
    <font>
      <i/>
      <sz val="9"/>
      <color rgb="FF000000"/>
      <name val="Calibri"/>
      <family val="2"/>
      <scheme val="minor"/>
    </font>
  </fonts>
  <fills count="49">
    <fill>
      <patternFill patternType="none"/>
    </fill>
    <fill>
      <patternFill patternType="gray125"/>
    </fill>
    <fill>
      <patternFill patternType="solid">
        <fgColor theme="4"/>
        <bgColor indexed="64"/>
      </patternFill>
    </fill>
    <fill>
      <patternFill patternType="solid">
        <fgColor theme="0" tint="-0.14999847407452621"/>
        <bgColor indexed="64"/>
      </patternFill>
    </fill>
    <fill>
      <patternFill patternType="solid">
        <fgColor rgb="FF4F81BD"/>
        <bgColor indexed="64"/>
      </patternFill>
    </fill>
    <fill>
      <patternFill patternType="solid">
        <fgColor rgb="FFFFCC99"/>
      </patternFill>
    </fill>
    <fill>
      <patternFill patternType="solid">
        <fgColor rgb="FFF2F2F2"/>
      </patternFill>
    </fill>
    <fill>
      <patternFill patternType="solid">
        <fgColor rgb="FFFFFFCC"/>
      </patternFill>
    </fill>
    <fill>
      <patternFill patternType="solid">
        <fgColor theme="4"/>
        <bgColor theme="4"/>
      </patternFill>
    </fill>
    <fill>
      <patternFill patternType="solid">
        <fgColor rgb="FF4F81BD"/>
        <bgColor rgb="FF4F81BD"/>
      </patternFill>
    </fill>
    <fill>
      <patternFill patternType="solid">
        <fgColor theme="0"/>
        <bgColor indexed="64"/>
      </patternFill>
    </fill>
    <fill>
      <patternFill patternType="solid">
        <fgColor rgb="FFFFFFFF"/>
        <bgColor rgb="FF000000"/>
      </patternFill>
    </fill>
    <fill>
      <patternFill patternType="solid">
        <fgColor theme="0" tint="-0.34998626667073579"/>
        <bgColor indexed="64"/>
      </patternFill>
    </fill>
    <fill>
      <patternFill patternType="solid">
        <fgColor rgb="FFFFFFFF"/>
        <bgColor indexed="64"/>
      </patternFill>
    </fill>
    <fill>
      <patternFill patternType="solid">
        <fgColor rgb="FFFFFF00"/>
        <bgColor indexed="64"/>
      </patternFill>
    </fill>
    <fill>
      <patternFill patternType="solid">
        <fgColor theme="0" tint="-0.249977111117893"/>
        <bgColor indexed="64"/>
      </patternFill>
    </fill>
    <fill>
      <patternFill patternType="solid">
        <fgColor rgb="FFFCFC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6795556505021"/>
        <bgColor indexed="64"/>
      </patternFill>
    </fill>
    <fill>
      <patternFill patternType="solid">
        <fgColor rgb="FFD9D9D9"/>
        <bgColor indexed="64"/>
      </patternFill>
    </fill>
    <fill>
      <patternFill patternType="solid">
        <fgColor theme="8" tint="0.39997558519241921"/>
        <bgColor indexed="64"/>
      </patternFill>
    </fill>
    <fill>
      <patternFill patternType="solid">
        <fgColor rgb="FF92D050"/>
        <bgColor indexed="64"/>
      </patternFill>
    </fill>
  </fills>
  <borders count="57">
    <border>
      <left/>
      <right/>
      <top/>
      <bottom/>
      <diagonal/>
    </border>
    <border>
      <left/>
      <right/>
      <top style="thin">
        <color theme="4"/>
      </top>
      <bottom/>
      <diagonal/>
    </border>
    <border>
      <left style="thin">
        <color theme="4"/>
      </left>
      <right/>
      <top style="thin">
        <color theme="4"/>
      </top>
      <bottom/>
      <diagonal/>
    </border>
    <border>
      <left/>
      <right/>
      <top style="thin">
        <color theme="4"/>
      </top>
      <bottom style="thin">
        <color theme="4"/>
      </bottom>
      <diagonal/>
    </border>
    <border>
      <left/>
      <right style="medium">
        <color rgb="FF4F81BD"/>
      </right>
      <top/>
      <bottom/>
      <diagonal/>
    </border>
    <border>
      <left/>
      <right/>
      <top/>
      <bottom style="medium">
        <color rgb="FF4F81BD"/>
      </bottom>
      <diagonal/>
    </border>
    <border>
      <left/>
      <right style="medium">
        <color rgb="FF4F81BD"/>
      </right>
      <top/>
      <bottom style="medium">
        <color rgb="FF4F81BD"/>
      </bottom>
      <diagonal/>
    </border>
    <border>
      <left style="medium">
        <color rgb="FF4F81BD"/>
      </left>
      <right/>
      <top style="medium">
        <color rgb="FF4F81BD"/>
      </top>
      <bottom/>
      <diagonal/>
    </border>
    <border>
      <left/>
      <right/>
      <top style="medium">
        <color rgb="FF4F81BD"/>
      </top>
      <bottom/>
      <diagonal/>
    </border>
    <border>
      <left/>
      <right style="medium">
        <color rgb="FF4F81BD"/>
      </right>
      <top style="medium">
        <color rgb="FF4F81BD"/>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theme="4"/>
      </left>
      <right/>
      <top/>
      <bottom/>
      <diagonal/>
    </border>
    <border>
      <left/>
      <right/>
      <top style="thin">
        <color rgb="FF4F81BD"/>
      </top>
      <bottom/>
      <diagonal/>
    </border>
    <border>
      <left/>
      <right/>
      <top style="thin">
        <color rgb="FF4F81BD"/>
      </top>
      <bottom style="thin">
        <color rgb="FF4F81BD"/>
      </bottom>
      <diagonal/>
    </border>
    <border>
      <left/>
      <right style="thin">
        <color rgb="FF4F81BD"/>
      </right>
      <top style="medium">
        <color rgb="FF4F81BD"/>
      </top>
      <bottom/>
      <diagonal/>
    </border>
    <border>
      <left/>
      <right style="thin">
        <color rgb="FF4F81BD"/>
      </right>
      <top style="thin">
        <color rgb="FF4F81BD"/>
      </top>
      <bottom/>
      <diagonal/>
    </border>
    <border>
      <left style="thin">
        <color rgb="FF7F7F7F"/>
      </left>
      <right/>
      <top style="thin">
        <color rgb="FF7F7F7F"/>
      </top>
      <bottom/>
      <diagonal/>
    </border>
    <border>
      <left/>
      <right/>
      <top style="thin">
        <color rgb="FF7F7F7F"/>
      </top>
      <bottom/>
      <diagonal/>
    </border>
    <border>
      <left style="thin">
        <color rgb="FF7F7F7F"/>
      </left>
      <right/>
      <top/>
      <bottom style="thin">
        <color rgb="FF7F7F7F"/>
      </bottom>
      <diagonal/>
    </border>
    <border>
      <left/>
      <right/>
      <top/>
      <bottom style="thin">
        <color rgb="FF7F7F7F"/>
      </bottom>
      <diagonal/>
    </border>
    <border>
      <left/>
      <right style="thin">
        <color rgb="FF7F7F7F"/>
      </right>
      <top style="thin">
        <color rgb="FF7F7F7F"/>
      </top>
      <bottom/>
      <diagonal/>
    </border>
    <border>
      <left/>
      <right style="thin">
        <color rgb="FF7F7F7F"/>
      </right>
      <top/>
      <bottom style="thin">
        <color rgb="FF7F7F7F"/>
      </bottom>
      <diagonal/>
    </border>
    <border>
      <left style="medium">
        <color rgb="FF4F81BD"/>
      </left>
      <right/>
      <top/>
      <bottom style="medium">
        <color rgb="FF4F81BD"/>
      </bottom>
      <diagonal/>
    </border>
    <border>
      <left style="thin">
        <color rgb="FFB2B2B2"/>
      </left>
      <right style="thin">
        <color rgb="FFB2B2B2"/>
      </right>
      <top style="thin">
        <color rgb="FFB2B2B2"/>
      </top>
      <bottom/>
      <diagonal/>
    </border>
    <border>
      <left/>
      <right/>
      <top style="thin">
        <color theme="1"/>
      </top>
      <bottom/>
      <diagonal/>
    </border>
    <border>
      <left style="thin">
        <color rgb="FFB2B2B2"/>
      </left>
      <right style="thin">
        <color rgb="FFB2B2B2"/>
      </right>
      <top/>
      <bottom style="thin">
        <color rgb="FFB2B2B2"/>
      </bottom>
      <diagonal/>
    </border>
    <border>
      <left style="thin">
        <color theme="3"/>
      </left>
      <right style="thin">
        <color theme="3"/>
      </right>
      <top style="thin">
        <color theme="3"/>
      </top>
      <bottom style="thin">
        <color theme="3"/>
      </bottom>
      <diagonal/>
    </border>
    <border>
      <left/>
      <right style="thin">
        <color theme="3"/>
      </right>
      <top style="thin">
        <color theme="3"/>
      </top>
      <bottom style="thin">
        <color theme="3"/>
      </bottom>
      <diagonal/>
    </border>
    <border>
      <left/>
      <right/>
      <top/>
      <bottom style="thin">
        <color theme="3"/>
      </bottom>
      <diagonal/>
    </border>
    <border>
      <left/>
      <right/>
      <top style="thin">
        <color theme="3"/>
      </top>
      <bottom style="thin">
        <color theme="3"/>
      </bottom>
      <diagonal/>
    </border>
    <border>
      <left style="thin">
        <color rgb="FF4F81BD"/>
      </left>
      <right style="thin">
        <color rgb="FF4F81BD"/>
      </right>
      <top/>
      <bottom style="thin">
        <color rgb="FF4F81BD"/>
      </bottom>
      <diagonal/>
    </border>
    <border>
      <left style="thin">
        <color rgb="FF4F81BD"/>
      </left>
      <right/>
      <top/>
      <bottom style="thin">
        <color rgb="FF4F81BD"/>
      </bottom>
      <diagonal/>
    </border>
    <border>
      <left/>
      <right style="medium">
        <color rgb="FF4F81BD"/>
      </right>
      <top style="medium">
        <color rgb="FF4F81BD"/>
      </top>
      <bottom style="medium">
        <color rgb="FF4F81BD"/>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rgb="FF4F81BD"/>
      </left>
      <right/>
      <top style="medium">
        <color rgb="FF4F81BD"/>
      </top>
      <bottom style="medium">
        <color rgb="FF4F81BD"/>
      </bottom>
      <diagonal/>
    </border>
    <border>
      <left/>
      <right/>
      <top/>
      <bottom style="thin">
        <color theme="4"/>
      </bottom>
      <diagonal/>
    </border>
    <border>
      <left/>
      <right/>
      <top/>
      <bottom style="thin">
        <color rgb="FF4F81BD"/>
      </bottom>
      <diagonal/>
    </border>
    <border>
      <left/>
      <right style="thin">
        <color theme="4"/>
      </right>
      <top/>
      <bottom style="thin">
        <color theme="4"/>
      </bottom>
      <diagonal/>
    </border>
    <border>
      <left/>
      <right style="thin">
        <color theme="4"/>
      </right>
      <top style="thin">
        <color theme="4"/>
      </top>
      <bottom/>
      <diagonal/>
    </border>
    <border>
      <left style="thin">
        <color theme="4"/>
      </left>
      <right/>
      <top/>
      <bottom style="thin">
        <color theme="4"/>
      </bottom>
      <diagonal/>
    </border>
    <border>
      <left/>
      <right style="thin">
        <color theme="4"/>
      </right>
      <top/>
      <bottom/>
      <diagonal/>
    </border>
    <border>
      <left style="thin">
        <color rgb="FF4F81BD"/>
      </left>
      <right/>
      <top style="thin">
        <color rgb="FF4F81BD"/>
      </top>
      <bottom style="thin">
        <color rgb="FF4F81BD"/>
      </bottom>
      <diagonal/>
    </border>
    <border>
      <left style="thin">
        <color auto="1"/>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style="thin">
        <color auto="1"/>
      </top>
      <bottom/>
      <diagonal/>
    </border>
    <border>
      <left/>
      <right/>
      <top style="thin">
        <color auto="1"/>
      </top>
      <bottom style="thin">
        <color auto="1"/>
      </bottom>
      <diagonal/>
    </border>
    <border>
      <left/>
      <right/>
      <top style="medium">
        <color rgb="FF4F81BD"/>
      </top>
      <bottom style="medium">
        <color rgb="FF4F81BD"/>
      </bottom>
      <diagonal/>
    </border>
    <border>
      <left style="thin">
        <color theme="4"/>
      </left>
      <right style="thin">
        <color theme="4"/>
      </right>
      <top/>
      <bottom style="thin">
        <color theme="4"/>
      </bottom>
      <diagonal/>
    </border>
  </borders>
  <cellStyleXfs count="2202">
    <xf numFmtId="0" fontId="0" fillId="0" borderId="0"/>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5" borderId="10" applyNumberFormat="0" applyAlignment="0" applyProtection="0"/>
    <xf numFmtId="0" fontId="9" fillId="6" borderId="10" applyNumberFormat="0" applyAlignment="0" applyProtection="0"/>
    <xf numFmtId="0" fontId="5" fillId="7" borderId="11" applyNumberFormat="0" applyFont="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13" fillId="0" borderId="0" applyNumberFormat="0" applyFill="0" applyBorder="0" applyAlignment="0" applyProtection="0">
      <alignment vertical="top"/>
      <protection locked="0"/>
    </xf>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5" fillId="0" borderId="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4" fillId="0" borderId="0"/>
    <xf numFmtId="0" fontId="4" fillId="7" borderId="11" applyNumberFormat="0" applyFont="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20" fillId="0" borderId="46" applyNumberFormat="0" applyFill="0" applyAlignment="0" applyProtection="0"/>
    <xf numFmtId="0" fontId="21" fillId="0" borderId="47" applyNumberFormat="0" applyFill="0" applyAlignment="0" applyProtection="0"/>
    <xf numFmtId="0" fontId="22" fillId="0" borderId="48" applyNumberFormat="0" applyFill="0" applyAlignment="0" applyProtection="0"/>
    <xf numFmtId="0" fontId="22" fillId="0" borderId="0" applyNumberFormat="0" applyFill="0" applyBorder="0" applyAlignment="0" applyProtection="0"/>
    <xf numFmtId="0" fontId="23" fillId="17" borderId="0" applyNumberFormat="0" applyBorder="0" applyAlignment="0" applyProtection="0"/>
    <xf numFmtId="0" fontId="24" fillId="18" borderId="0" applyNumberFormat="0" applyBorder="0" applyAlignment="0" applyProtection="0"/>
    <xf numFmtId="0" fontId="25" fillId="19" borderId="0" applyNumberFormat="0" applyBorder="0" applyAlignment="0" applyProtection="0"/>
    <xf numFmtId="0" fontId="26" fillId="6" borderId="49" applyNumberFormat="0" applyAlignment="0" applyProtection="0"/>
    <xf numFmtId="0" fontId="27" fillId="0" borderId="50" applyNumberFormat="0" applyFill="0" applyAlignment="0" applyProtection="0"/>
    <xf numFmtId="0" fontId="28" fillId="20" borderId="51"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0" borderId="52" applyNumberFormat="0" applyFill="0" applyAlignment="0" applyProtection="0"/>
    <xf numFmtId="0" fontId="32"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5" fillId="38" borderId="0" applyNumberFormat="0" applyBorder="0" applyAlignment="0" applyProtection="0"/>
    <xf numFmtId="0" fontId="5" fillId="39"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32" fillId="44" borderId="0" applyNumberFormat="0" applyBorder="0" applyAlignment="0" applyProtection="0"/>
    <xf numFmtId="0" fontId="33" fillId="0" borderId="0" applyNumberFormat="0" applyFill="0" applyBorder="0" applyAlignment="0" applyProtection="0"/>
    <xf numFmtId="0" fontId="34" fillId="5" borderId="10" applyNumberFormat="0" applyAlignment="0" applyProtection="0"/>
    <xf numFmtId="0" fontId="35" fillId="6" borderId="10" applyNumberFormat="0" applyAlignment="0" applyProtection="0"/>
    <xf numFmtId="0" fontId="6" fillId="0" borderId="0" applyNumberFormat="0" applyFill="0" applyBorder="0" applyAlignment="0" applyProtection="0"/>
    <xf numFmtId="43" fontId="5" fillId="0" borderId="0" applyFont="0" applyFill="0" applyBorder="0" applyAlignment="0" applyProtection="0"/>
    <xf numFmtId="9" fontId="5" fillId="0" borderId="0" applyFont="0" applyFill="0" applyBorder="0" applyAlignment="0" applyProtection="0"/>
  </cellStyleXfs>
  <cellXfs count="473">
    <xf numFmtId="0" fontId="0" fillId="0" borderId="0" xfId="0"/>
    <xf numFmtId="0" fontId="0" fillId="0" borderId="0" xfId="0" applyProtection="1">
      <protection hidden="1"/>
    </xf>
    <xf numFmtId="0" fontId="14" fillId="0" borderId="0" xfId="0" applyFont="1" applyAlignment="1" applyProtection="1">
      <alignment horizontal="center"/>
      <protection hidden="1"/>
    </xf>
    <xf numFmtId="168" fontId="18" fillId="0" borderId="0" xfId="0" applyNumberFormat="1" applyFont="1" applyAlignment="1" applyProtection="1">
      <alignment horizontal="center"/>
      <protection hidden="1"/>
    </xf>
    <xf numFmtId="0" fontId="3" fillId="0" borderId="0" xfId="0" applyFont="1" applyProtection="1">
      <protection hidden="1"/>
    </xf>
    <xf numFmtId="0" fontId="10" fillId="0" borderId="0" xfId="0" applyFont="1" applyAlignment="1" applyProtection="1">
      <alignment horizontal="center"/>
      <protection hidden="1"/>
    </xf>
    <xf numFmtId="0" fontId="15" fillId="0" borderId="0" xfId="0" applyFont="1" applyAlignment="1" applyProtection="1">
      <alignment horizontal="center"/>
      <protection hidden="1"/>
    </xf>
    <xf numFmtId="0" fontId="12" fillId="0" borderId="0" xfId="0" applyFont="1" applyProtection="1">
      <protection hidden="1"/>
    </xf>
    <xf numFmtId="0" fontId="3" fillId="0" borderId="0" xfId="0" applyFont="1" applyAlignment="1" applyProtection="1">
      <alignment horizontal="left"/>
      <protection hidden="1"/>
    </xf>
    <xf numFmtId="0" fontId="16" fillId="0" borderId="0" xfId="0" applyFont="1" applyProtection="1">
      <protection hidden="1"/>
    </xf>
    <xf numFmtId="0" fontId="17" fillId="0" borderId="0" xfId="313" applyFont="1" applyAlignment="1" applyProtection="1">
      <alignment horizontal="left"/>
      <protection hidden="1"/>
    </xf>
    <xf numFmtId="0" fontId="3" fillId="0" borderId="0" xfId="0" applyFont="1" applyAlignment="1" applyProtection="1">
      <alignment horizontal="left" vertical="top"/>
      <protection hidden="1"/>
    </xf>
    <xf numFmtId="0" fontId="1" fillId="0" borderId="0" xfId="0" applyFont="1" applyAlignment="1" applyProtection="1">
      <alignment horizontal="justify"/>
      <protection hidden="1"/>
    </xf>
    <xf numFmtId="0" fontId="37" fillId="0" borderId="0" xfId="0" applyFont="1" applyProtection="1">
      <protection hidden="1"/>
    </xf>
    <xf numFmtId="0" fontId="39" fillId="0" borderId="0" xfId="0" applyFont="1" applyProtection="1">
      <protection hidden="1"/>
    </xf>
    <xf numFmtId="0" fontId="37" fillId="0" borderId="0" xfId="0" applyFont="1" applyBorder="1" applyProtection="1">
      <protection hidden="1"/>
    </xf>
    <xf numFmtId="0" fontId="43" fillId="0" borderId="0" xfId="0" applyFont="1" applyProtection="1">
      <protection locked="0" hidden="1"/>
    </xf>
    <xf numFmtId="0" fontId="46" fillId="0" borderId="0" xfId="0" applyFont="1" applyProtection="1">
      <protection locked="0" hidden="1"/>
    </xf>
    <xf numFmtId="0" fontId="43" fillId="12" borderId="0" xfId="0" applyFont="1" applyFill="1" applyProtection="1">
      <protection locked="0" hidden="1"/>
    </xf>
    <xf numFmtId="0" fontId="43" fillId="0" borderId="0" xfId="0" applyFont="1" applyFill="1" applyBorder="1" applyProtection="1">
      <protection locked="0" hidden="1"/>
    </xf>
    <xf numFmtId="165" fontId="48" fillId="0" borderId="0" xfId="161" applyNumberFormat="1" applyFont="1" applyFill="1" applyBorder="1" applyAlignment="1" applyProtection="1">
      <alignment horizontal="center" vertical="center"/>
      <protection locked="0" hidden="1"/>
    </xf>
    <xf numFmtId="0" fontId="45" fillId="12" borderId="26" xfId="162" applyFont="1" applyFill="1" applyBorder="1" applyAlignment="1" applyProtection="1">
      <alignment horizontal="right"/>
      <protection locked="0" hidden="1"/>
    </xf>
    <xf numFmtId="0" fontId="47" fillId="0" borderId="0" xfId="0" applyFont="1" applyFill="1" applyBorder="1" applyProtection="1">
      <protection locked="0" hidden="1"/>
    </xf>
    <xf numFmtId="0" fontId="49" fillId="0" borderId="0" xfId="0" applyFont="1" applyFill="1" applyBorder="1" applyAlignment="1" applyProtection="1">
      <alignment horizontal="center" vertical="center" wrapText="1"/>
      <protection locked="0" hidden="1"/>
    </xf>
    <xf numFmtId="5" fontId="48" fillId="0" borderId="0" xfId="0" applyNumberFormat="1" applyFont="1" applyFill="1" applyBorder="1" applyProtection="1">
      <protection locked="0" hidden="1"/>
    </xf>
    <xf numFmtId="0" fontId="44" fillId="0" borderId="0" xfId="0" applyFont="1" applyFill="1" applyBorder="1" applyAlignment="1" applyProtection="1">
      <alignment horizontal="center" vertical="center" wrapText="1"/>
      <protection locked="0" hidden="1"/>
    </xf>
    <xf numFmtId="0" fontId="38" fillId="10" borderId="0" xfId="0" applyFont="1" applyFill="1" applyProtection="1">
      <protection hidden="1"/>
    </xf>
    <xf numFmtId="7" fontId="37" fillId="0" borderId="0" xfId="3" applyNumberFormat="1" applyFont="1" applyBorder="1" applyAlignment="1" applyProtection="1">
      <alignment horizontal="center" vertical="center"/>
      <protection hidden="1"/>
    </xf>
    <xf numFmtId="0" fontId="50" fillId="0" borderId="0" xfId="0" applyFont="1" applyProtection="1">
      <protection hidden="1"/>
    </xf>
    <xf numFmtId="0" fontId="51" fillId="0" borderId="0" xfId="0" applyFont="1" applyProtection="1">
      <protection hidden="1"/>
    </xf>
    <xf numFmtId="0" fontId="41" fillId="10" borderId="0" xfId="0" applyFont="1" applyFill="1" applyProtection="1">
      <protection hidden="1"/>
    </xf>
    <xf numFmtId="0" fontId="42" fillId="0" borderId="29" xfId="0" applyNumberFormat="1" applyFont="1" applyFill="1" applyBorder="1" applyAlignment="1" applyProtection="1">
      <alignment wrapText="1"/>
      <protection hidden="1"/>
    </xf>
    <xf numFmtId="0" fontId="42" fillId="0" borderId="29" xfId="0" applyNumberFormat="1" applyFont="1" applyFill="1" applyBorder="1" applyAlignment="1" applyProtection="1">
      <alignment horizontal="center" vertical="center" wrapText="1"/>
      <protection hidden="1"/>
    </xf>
    <xf numFmtId="0" fontId="40" fillId="8" borderId="0" xfId="0" applyNumberFormat="1" applyFont="1" applyFill="1" applyBorder="1" applyAlignment="1" applyProtection="1">
      <alignment horizontal="center" vertical="center" wrapText="1"/>
    </xf>
    <xf numFmtId="5" fontId="37" fillId="10" borderId="30" xfId="3" applyNumberFormat="1" applyFont="1" applyFill="1" applyBorder="1" applyAlignment="1" applyProtection="1">
      <alignment horizontal="center" vertical="center"/>
      <protection hidden="1"/>
    </xf>
    <xf numFmtId="3" fontId="37" fillId="10" borderId="30" xfId="1" applyNumberFormat="1" applyFont="1" applyFill="1" applyBorder="1" applyAlignment="1" applyProtection="1">
      <alignment horizontal="center" vertical="center"/>
      <protection hidden="1"/>
    </xf>
    <xf numFmtId="164" fontId="37" fillId="10" borderId="30" xfId="2" applyNumberFormat="1" applyFont="1" applyFill="1" applyBorder="1" applyAlignment="1" applyProtection="1">
      <alignment horizontal="center" vertical="center"/>
      <protection hidden="1"/>
    </xf>
    <xf numFmtId="5" fontId="37" fillId="0" borderId="30" xfId="3" applyNumberFormat="1" applyFont="1" applyBorder="1" applyAlignment="1" applyProtection="1">
      <alignment horizontal="center" vertical="center"/>
      <protection hidden="1"/>
    </xf>
    <xf numFmtId="9" fontId="37" fillId="0" borderId="30" xfId="2" applyNumberFormat="1" applyFont="1" applyBorder="1" applyAlignment="1" applyProtection="1">
      <alignment horizontal="center" vertical="center"/>
      <protection hidden="1"/>
    </xf>
    <xf numFmtId="164" fontId="37" fillId="0" borderId="30" xfId="2" applyNumberFormat="1" applyFont="1" applyBorder="1" applyAlignment="1" applyProtection="1">
      <alignment horizontal="center" vertical="center"/>
      <protection hidden="1"/>
    </xf>
    <xf numFmtId="0" fontId="37" fillId="0" borderId="17" xfId="0" applyFont="1" applyBorder="1" applyProtection="1"/>
    <xf numFmtId="164" fontId="41" fillId="0" borderId="18" xfId="2" applyNumberFormat="1" applyFont="1" applyBorder="1" applyProtection="1"/>
    <xf numFmtId="9" fontId="37" fillId="0" borderId="18" xfId="2" applyFont="1" applyBorder="1" applyProtection="1"/>
    <xf numFmtId="0" fontId="37" fillId="0" borderId="18" xfId="0" applyFont="1" applyBorder="1" applyProtection="1"/>
    <xf numFmtId="0" fontId="37" fillId="0" borderId="21" xfId="0" applyFont="1" applyBorder="1" applyProtection="1"/>
    <xf numFmtId="164" fontId="37" fillId="0" borderId="0" xfId="0" applyNumberFormat="1" applyFont="1" applyProtection="1">
      <protection hidden="1"/>
    </xf>
    <xf numFmtId="0" fontId="37" fillId="0" borderId="19" xfId="0" applyFont="1" applyBorder="1" applyProtection="1"/>
    <xf numFmtId="44" fontId="37" fillId="0" borderId="20" xfId="3" applyNumberFormat="1" applyFont="1" applyBorder="1" applyProtection="1"/>
    <xf numFmtId="9" fontId="41" fillId="0" borderId="20" xfId="2" applyFont="1" applyBorder="1" applyProtection="1"/>
    <xf numFmtId="0" fontId="37" fillId="0" borderId="20" xfId="0" applyFont="1" applyBorder="1" applyProtection="1"/>
    <xf numFmtId="167" fontId="41" fillId="0" borderId="20" xfId="3" applyNumberFormat="1" applyFont="1" applyBorder="1" applyProtection="1"/>
    <xf numFmtId="0" fontId="37" fillId="0" borderId="22" xfId="0" applyFont="1" applyBorder="1" applyProtection="1"/>
    <xf numFmtId="9" fontId="37" fillId="0" borderId="0" xfId="3" applyNumberFormat="1" applyFont="1" applyBorder="1" applyProtection="1">
      <protection locked="0" hidden="1"/>
    </xf>
    <xf numFmtId="7" fontId="41" fillId="0" borderId="0" xfId="2" applyNumberFormat="1" applyFont="1" applyBorder="1" applyProtection="1">
      <protection hidden="1"/>
    </xf>
    <xf numFmtId="167" fontId="41" fillId="0" borderId="0" xfId="3" applyNumberFormat="1" applyFont="1" applyBorder="1" applyProtection="1">
      <protection hidden="1"/>
    </xf>
    <xf numFmtId="9" fontId="41" fillId="0" borderId="0" xfId="2" applyFont="1" applyBorder="1" applyProtection="1">
      <protection hidden="1"/>
    </xf>
    <xf numFmtId="44" fontId="37" fillId="0" borderId="0" xfId="3" applyNumberFormat="1" applyFont="1" applyBorder="1" applyProtection="1">
      <protection locked="0" hidden="1"/>
    </xf>
    <xf numFmtId="0" fontId="42" fillId="0" borderId="0" xfId="0" applyFont="1" applyBorder="1" applyProtection="1">
      <protection hidden="1"/>
    </xf>
    <xf numFmtId="0" fontId="42" fillId="0" borderId="29" xfId="0" applyNumberFormat="1" applyFont="1" applyFill="1" applyBorder="1" applyAlignment="1" applyProtection="1">
      <alignment wrapText="1"/>
      <protection locked="0" hidden="1"/>
    </xf>
    <xf numFmtId="0" fontId="42" fillId="0" borderId="29" xfId="0" applyNumberFormat="1" applyFont="1" applyFill="1" applyBorder="1" applyAlignment="1" applyProtection="1">
      <alignment horizontal="center" vertical="center" wrapText="1"/>
      <protection locked="0" hidden="1"/>
    </xf>
    <xf numFmtId="0" fontId="40" fillId="8" borderId="1" xfId="0" applyNumberFormat="1" applyFont="1" applyFill="1" applyBorder="1" applyAlignment="1">
      <alignment horizontal="center" vertical="center" wrapText="1"/>
    </xf>
    <xf numFmtId="5" fontId="37" fillId="0" borderId="30" xfId="3" applyNumberFormat="1" applyFont="1" applyBorder="1" applyAlignment="1" applyProtection="1">
      <alignment horizontal="center" vertical="center"/>
      <protection locked="0" hidden="1"/>
    </xf>
    <xf numFmtId="3" fontId="37" fillId="0" borderId="30" xfId="1" applyNumberFormat="1" applyFont="1" applyBorder="1" applyAlignment="1" applyProtection="1">
      <alignment horizontal="center" vertical="center"/>
      <protection locked="0" hidden="1"/>
    </xf>
    <xf numFmtId="164" fontId="37" fillId="0" borderId="30" xfId="2" applyNumberFormat="1" applyFont="1" applyBorder="1" applyAlignment="1" applyProtection="1">
      <alignment horizontal="center" vertical="center"/>
      <protection locked="0" hidden="1"/>
    </xf>
    <xf numFmtId="5" fontId="37" fillId="0" borderId="30" xfId="3" applyNumberFormat="1" applyFont="1" applyFill="1" applyBorder="1" applyAlignment="1" applyProtection="1">
      <alignment horizontal="center" vertical="center"/>
      <protection locked="0" hidden="1"/>
    </xf>
    <xf numFmtId="9" fontId="37" fillId="0" borderId="30" xfId="2" applyNumberFormat="1" applyFont="1" applyBorder="1" applyAlignment="1" applyProtection="1">
      <alignment horizontal="center" vertical="center"/>
      <protection locked="0" hidden="1"/>
    </xf>
    <xf numFmtId="9" fontId="36" fillId="0" borderId="30" xfId="2" applyNumberFormat="1" applyFont="1" applyBorder="1" applyAlignment="1" applyProtection="1">
      <alignment horizontal="center" vertical="center"/>
      <protection locked="0" hidden="1"/>
    </xf>
    <xf numFmtId="0" fontId="37" fillId="0" borderId="17" xfId="0" applyFont="1" applyBorder="1" applyProtection="1">
      <protection hidden="1"/>
    </xf>
    <xf numFmtId="164" fontId="41" fillId="0" borderId="18" xfId="2" applyNumberFormat="1" applyFont="1" applyBorder="1" applyProtection="1">
      <protection locked="0" hidden="1"/>
    </xf>
    <xf numFmtId="7" fontId="37" fillId="0" borderId="18" xfId="0" applyNumberFormat="1" applyFont="1" applyBorder="1" applyAlignment="1" applyProtection="1">
      <alignment horizontal="center"/>
      <protection locked="0" hidden="1"/>
    </xf>
    <xf numFmtId="9" fontId="37" fillId="0" borderId="18" xfId="2" applyFont="1" applyBorder="1" applyProtection="1">
      <protection hidden="1"/>
    </xf>
    <xf numFmtId="0" fontId="37" fillId="0" borderId="18" xfId="0" applyFont="1" applyBorder="1" applyProtection="1">
      <protection hidden="1"/>
    </xf>
    <xf numFmtId="164" fontId="41" fillId="0" borderId="18" xfId="2" applyNumberFormat="1" applyFont="1" applyBorder="1" applyProtection="1">
      <protection hidden="1"/>
    </xf>
    <xf numFmtId="0" fontId="37" fillId="0" borderId="21" xfId="0" applyFont="1" applyBorder="1" applyProtection="1">
      <protection hidden="1"/>
    </xf>
    <xf numFmtId="0" fontId="37" fillId="0" borderId="19" xfId="0" applyFont="1" applyBorder="1" applyProtection="1">
      <protection locked="0" hidden="1"/>
    </xf>
    <xf numFmtId="44" fontId="37" fillId="0" borderId="20" xfId="3" applyNumberFormat="1" applyFont="1" applyBorder="1" applyProtection="1">
      <protection locked="0" hidden="1"/>
    </xf>
    <xf numFmtId="9" fontId="41" fillId="0" borderId="20" xfId="2" applyFont="1" applyBorder="1" applyProtection="1">
      <protection locked="0" hidden="1"/>
    </xf>
    <xf numFmtId="0" fontId="37" fillId="0" borderId="20" xfId="0" applyFont="1" applyBorder="1" applyProtection="1">
      <protection locked="0" hidden="1"/>
    </xf>
    <xf numFmtId="167" fontId="41" fillId="0" borderId="20" xfId="3" applyNumberFormat="1" applyFont="1" applyBorder="1" applyProtection="1">
      <protection locked="0" hidden="1"/>
    </xf>
    <xf numFmtId="0" fontId="37" fillId="0" borderId="22" xfId="0" applyFont="1" applyBorder="1" applyProtection="1">
      <protection hidden="1"/>
    </xf>
    <xf numFmtId="5" fontId="37" fillId="0" borderId="30" xfId="3" applyNumberFormat="1" applyFont="1" applyFill="1" applyBorder="1" applyAlignment="1" applyProtection="1">
      <alignment horizontal="center" vertical="center"/>
      <protection hidden="1"/>
    </xf>
    <xf numFmtId="3" fontId="37" fillId="0" borderId="30" xfId="1" applyNumberFormat="1" applyFont="1" applyFill="1" applyBorder="1" applyAlignment="1" applyProtection="1">
      <alignment horizontal="center" vertical="center"/>
      <protection hidden="1"/>
    </xf>
    <xf numFmtId="164" fontId="37" fillId="0" borderId="30" xfId="2" applyNumberFormat="1" applyFont="1" applyFill="1" applyBorder="1" applyAlignment="1" applyProtection="1">
      <alignment horizontal="center" vertical="center"/>
      <protection hidden="1"/>
    </xf>
    <xf numFmtId="9" fontId="37" fillId="0" borderId="30" xfId="2" applyNumberFormat="1" applyFont="1" applyFill="1" applyBorder="1" applyAlignment="1" applyProtection="1">
      <alignment horizontal="center" vertical="center"/>
      <protection hidden="1"/>
    </xf>
    <xf numFmtId="9" fontId="36" fillId="0" borderId="30" xfId="2" applyNumberFormat="1" applyFont="1" applyFill="1" applyBorder="1" applyAlignment="1" applyProtection="1">
      <alignment horizontal="center" vertical="center"/>
      <protection hidden="1"/>
    </xf>
    <xf numFmtId="3" fontId="37" fillId="0" borderId="30" xfId="1" applyNumberFormat="1" applyFont="1" applyFill="1" applyBorder="1" applyAlignment="1" applyProtection="1">
      <alignment horizontal="center" vertical="center"/>
      <protection locked="0" hidden="1"/>
    </xf>
    <xf numFmtId="164" fontId="37" fillId="0" borderId="30" xfId="2" applyNumberFormat="1" applyFont="1" applyFill="1" applyBorder="1" applyAlignment="1" applyProtection="1">
      <alignment horizontal="center" vertical="center"/>
      <protection locked="0" hidden="1"/>
    </xf>
    <xf numFmtId="9" fontId="37" fillId="0" borderId="30" xfId="2" applyNumberFormat="1" applyFont="1" applyFill="1" applyBorder="1" applyAlignment="1" applyProtection="1">
      <alignment horizontal="center" vertical="center"/>
      <protection locked="0" hidden="1"/>
    </xf>
    <xf numFmtId="9" fontId="36" fillId="0" borderId="30" xfId="2" applyNumberFormat="1" applyFont="1" applyFill="1" applyBorder="1" applyAlignment="1" applyProtection="1">
      <alignment horizontal="center" vertical="center"/>
      <protection locked="0" hidden="1"/>
    </xf>
    <xf numFmtId="0" fontId="52" fillId="3" borderId="11" xfId="162" applyFont="1" applyFill="1" applyBorder="1" applyAlignment="1" applyProtection="1">
      <alignment horizontal="right" wrapText="1"/>
      <protection locked="0" hidden="1"/>
    </xf>
    <xf numFmtId="0" fontId="53" fillId="0" borderId="0" xfId="0" applyFont="1" applyAlignment="1" applyProtection="1">
      <alignment horizontal="center"/>
      <protection locked="0" hidden="1"/>
    </xf>
    <xf numFmtId="0" fontId="52" fillId="3" borderId="11" xfId="162" applyFont="1" applyFill="1" applyAlignment="1" applyProtection="1">
      <alignment horizontal="right"/>
      <protection locked="0" hidden="1"/>
    </xf>
    <xf numFmtId="0" fontId="53" fillId="0" borderId="0" xfId="0" applyFont="1" applyProtection="1">
      <protection locked="0" hidden="1"/>
    </xf>
    <xf numFmtId="0" fontId="55" fillId="0" borderId="0" xfId="0" applyFont="1" applyProtection="1">
      <protection locked="0" hidden="1"/>
    </xf>
    <xf numFmtId="0" fontId="52" fillId="3" borderId="11" xfId="162" applyFont="1" applyFill="1" applyBorder="1" applyAlignment="1" applyProtection="1">
      <alignment horizontal="right"/>
      <protection locked="0" hidden="1"/>
    </xf>
    <xf numFmtId="0" fontId="54" fillId="8" borderId="0" xfId="0" applyFont="1" applyFill="1" applyBorder="1" applyAlignment="1" applyProtection="1">
      <alignment horizontal="center" vertical="center"/>
      <protection locked="0" hidden="1"/>
    </xf>
    <xf numFmtId="0" fontId="53" fillId="0" borderId="0" xfId="0" applyFont="1" applyBorder="1" applyAlignment="1" applyProtection="1">
      <alignment horizontal="center"/>
      <protection locked="0" hidden="1"/>
    </xf>
    <xf numFmtId="0" fontId="52" fillId="3" borderId="24" xfId="162" applyFont="1" applyFill="1" applyBorder="1" applyAlignment="1" applyProtection="1">
      <alignment horizontal="right"/>
      <protection locked="0" hidden="1"/>
    </xf>
    <xf numFmtId="0" fontId="56" fillId="0" borderId="0" xfId="0" applyFont="1" applyProtection="1">
      <protection locked="0" hidden="1"/>
    </xf>
    <xf numFmtId="0" fontId="52" fillId="3" borderId="11" xfId="162" applyFont="1" applyFill="1" applyBorder="1" applyAlignment="1">
      <alignment horizontal="center" wrapText="1"/>
    </xf>
    <xf numFmtId="0" fontId="54" fillId="8" borderId="35" xfId="0" applyFont="1" applyFill="1" applyBorder="1" applyAlignment="1" applyProtection="1">
      <alignment horizontal="center" wrapText="1"/>
      <protection locked="0" hidden="1"/>
    </xf>
    <xf numFmtId="0" fontId="54" fillId="8" borderId="36" xfId="0" applyFont="1" applyFill="1" applyBorder="1" applyAlignment="1" applyProtection="1">
      <alignment horizontal="center"/>
      <protection locked="0" hidden="1"/>
    </xf>
    <xf numFmtId="9" fontId="55" fillId="12" borderId="34" xfId="2" applyFont="1" applyFill="1" applyBorder="1" applyAlignment="1" applyProtection="1">
      <alignment horizontal="center" vertical="center"/>
      <protection locked="0" hidden="1"/>
    </xf>
    <xf numFmtId="9" fontId="53" fillId="12" borderId="34" xfId="2" applyFont="1" applyFill="1" applyBorder="1" applyAlignment="1" applyProtection="1">
      <alignment horizontal="center" vertical="center" wrapText="1"/>
      <protection locked="0" hidden="1"/>
    </xf>
    <xf numFmtId="0" fontId="57" fillId="0" borderId="34" xfId="0" applyFont="1" applyBorder="1" applyAlignment="1">
      <alignment horizontal="left" wrapText="1"/>
    </xf>
    <xf numFmtId="9" fontId="57" fillId="0" borderId="34" xfId="0" applyNumberFormat="1" applyFont="1" applyBorder="1" applyAlignment="1" applyProtection="1">
      <alignment horizontal="center" vertical="center" wrapText="1"/>
      <protection locked="0" hidden="1"/>
    </xf>
    <xf numFmtId="9" fontId="53" fillId="0" borderId="34" xfId="0" applyNumberFormat="1" applyFont="1" applyBorder="1" applyAlignment="1" applyProtection="1">
      <alignment horizontal="center"/>
      <protection locked="0" hidden="1"/>
    </xf>
    <xf numFmtId="0" fontId="57" fillId="12" borderId="34" xfId="0" applyFont="1" applyFill="1" applyBorder="1" applyAlignment="1">
      <alignment horizontal="left" wrapText="1"/>
    </xf>
    <xf numFmtId="9" fontId="57" fillId="0" borderId="34" xfId="2" applyFont="1" applyBorder="1" applyAlignment="1" applyProtection="1">
      <alignment horizontal="center" vertical="center" wrapText="1"/>
      <protection locked="0" hidden="1"/>
    </xf>
    <xf numFmtId="9" fontId="57" fillId="0" borderId="34" xfId="2" applyFont="1" applyFill="1" applyBorder="1" applyAlignment="1" applyProtection="1">
      <alignment horizontal="center" vertical="center" wrapText="1"/>
      <protection locked="0" hidden="1"/>
    </xf>
    <xf numFmtId="0" fontId="57" fillId="12" borderId="34" xfId="0" applyFont="1" applyFill="1" applyBorder="1" applyAlignment="1">
      <alignment horizontal="justify" wrapText="1"/>
    </xf>
    <xf numFmtId="0" fontId="53" fillId="0" borderId="0" xfId="0" applyFont="1" applyAlignment="1" applyProtection="1">
      <alignment horizontal="center" wrapText="1"/>
      <protection locked="0" hidden="1"/>
    </xf>
    <xf numFmtId="0" fontId="59" fillId="10" borderId="10" xfId="160" applyFont="1" applyFill="1" applyAlignment="1" applyProtection="1">
      <alignment horizontal="center"/>
      <protection locked="0" hidden="1"/>
    </xf>
    <xf numFmtId="5" fontId="53" fillId="0" borderId="0" xfId="3" applyNumberFormat="1" applyFont="1" applyAlignment="1" applyProtection="1">
      <alignment horizontal="center"/>
      <protection locked="0" hidden="1"/>
    </xf>
    <xf numFmtId="0" fontId="60" fillId="10" borderId="10" xfId="160" applyFont="1" applyFill="1" applyBorder="1" applyAlignment="1" applyProtection="1">
      <alignment horizontal="center"/>
      <protection locked="0" hidden="1"/>
    </xf>
    <xf numFmtId="0" fontId="61" fillId="10" borderId="10" xfId="160" applyFont="1" applyFill="1" applyBorder="1" applyAlignment="1" applyProtection="1">
      <alignment horizontal="center"/>
      <protection locked="0" hidden="1"/>
    </xf>
    <xf numFmtId="165" fontId="61" fillId="10" borderId="10" xfId="160" applyNumberFormat="1" applyFont="1" applyFill="1" applyBorder="1" applyAlignment="1" applyProtection="1">
      <alignment horizontal="center"/>
      <protection locked="0" hidden="1"/>
    </xf>
    <xf numFmtId="0" fontId="53" fillId="0" borderId="0" xfId="0" applyFont="1" applyFill="1" applyBorder="1" applyProtection="1">
      <protection locked="0" hidden="1"/>
    </xf>
    <xf numFmtId="0" fontId="57" fillId="0" borderId="0" xfId="0" applyFont="1" applyFill="1" applyBorder="1" applyAlignment="1" applyProtection="1">
      <alignment horizontal="right" vertical="center" wrapText="1"/>
      <protection locked="0" hidden="1"/>
    </xf>
    <xf numFmtId="165" fontId="62" fillId="0" borderId="0" xfId="161" applyNumberFormat="1" applyFont="1" applyFill="1" applyBorder="1" applyAlignment="1" applyProtection="1">
      <alignment horizontal="center" vertical="center"/>
      <protection locked="0" hidden="1"/>
    </xf>
    <xf numFmtId="165" fontId="60" fillId="0" borderId="0" xfId="161" applyNumberFormat="1" applyFont="1" applyFill="1" applyBorder="1" applyAlignment="1" applyProtection="1">
      <alignment horizontal="center" vertical="center"/>
      <protection locked="0" hidden="1"/>
    </xf>
    <xf numFmtId="0" fontId="59" fillId="10" borderId="10" xfId="160" applyFont="1" applyFill="1" applyBorder="1" applyAlignment="1" applyProtection="1">
      <alignment horizontal="center"/>
      <protection locked="0" hidden="1"/>
    </xf>
    <xf numFmtId="0" fontId="57" fillId="0" borderId="0" xfId="0" applyFont="1" applyFill="1" applyBorder="1" applyProtection="1">
      <protection locked="0" hidden="1"/>
    </xf>
    <xf numFmtId="0" fontId="63" fillId="0" borderId="0" xfId="0" applyFont="1" applyFill="1" applyBorder="1" applyAlignment="1" applyProtection="1">
      <alignment horizontal="center"/>
      <protection locked="0" hidden="1"/>
    </xf>
    <xf numFmtId="0" fontId="63" fillId="0" borderId="0" xfId="0" applyFont="1" applyFill="1" applyBorder="1" applyAlignment="1" applyProtection="1">
      <alignment horizontal="center" vertical="center" wrapText="1"/>
      <protection locked="0" hidden="1"/>
    </xf>
    <xf numFmtId="0" fontId="57" fillId="0" borderId="0" xfId="0" applyFont="1" applyFill="1" applyBorder="1" applyAlignment="1" applyProtection="1">
      <alignment horizontal="center"/>
      <protection locked="0" hidden="1"/>
    </xf>
    <xf numFmtId="5" fontId="62" fillId="0" borderId="0" xfId="0" applyNumberFormat="1" applyFont="1" applyFill="1" applyBorder="1" applyProtection="1">
      <protection locked="0" hidden="1"/>
    </xf>
    <xf numFmtId="0" fontId="53" fillId="0" borderId="0" xfId="162" applyFont="1" applyFill="1" applyBorder="1" applyProtection="1">
      <protection locked="0" hidden="1"/>
    </xf>
    <xf numFmtId="0" fontId="54" fillId="0" borderId="0" xfId="0" applyFont="1" applyFill="1" applyBorder="1" applyAlignment="1" applyProtection="1">
      <alignment horizontal="center"/>
      <protection locked="0" hidden="1"/>
    </xf>
    <xf numFmtId="0" fontId="54" fillId="0" borderId="0" xfId="0" applyFont="1" applyFill="1" applyBorder="1" applyAlignment="1" applyProtection="1">
      <alignment horizontal="center" vertical="center" wrapText="1"/>
      <protection locked="0" hidden="1"/>
    </xf>
    <xf numFmtId="0" fontId="53" fillId="0" borderId="0" xfId="0" applyFont="1" applyFill="1" applyBorder="1" applyAlignment="1" applyProtection="1">
      <alignment horizontal="center" vertical="center"/>
      <protection locked="0" hidden="1"/>
    </xf>
    <xf numFmtId="0" fontId="64" fillId="0" borderId="0" xfId="0" applyFont="1" applyProtection="1">
      <protection hidden="1"/>
    </xf>
    <xf numFmtId="0" fontId="65" fillId="3" borderId="0" xfId="162" applyFont="1" applyFill="1" applyBorder="1" applyAlignment="1" applyProtection="1">
      <alignment horizontal="left"/>
      <protection hidden="1"/>
    </xf>
    <xf numFmtId="0" fontId="66" fillId="0" borderId="0" xfId="0" applyFont="1" applyProtection="1">
      <protection hidden="1"/>
    </xf>
    <xf numFmtId="0" fontId="67" fillId="8" borderId="1" xfId="0" applyFont="1" applyFill="1" applyBorder="1" applyAlignment="1" applyProtection="1">
      <alignment horizontal="left" wrapText="1"/>
      <protection hidden="1"/>
    </xf>
    <xf numFmtId="0" fontId="67" fillId="8" borderId="1" xfId="0" applyFont="1" applyFill="1" applyBorder="1" applyAlignment="1" applyProtection="1">
      <alignment horizontal="center" wrapText="1"/>
      <protection hidden="1"/>
    </xf>
    <xf numFmtId="164" fontId="66" fillId="0" borderId="0" xfId="2" applyNumberFormat="1" applyFont="1" applyAlignment="1" applyProtection="1">
      <alignment horizontal="center"/>
      <protection hidden="1"/>
    </xf>
    <xf numFmtId="164" fontId="66" fillId="0" borderId="0" xfId="2" applyNumberFormat="1" applyFont="1" applyFill="1" applyAlignment="1" applyProtection="1">
      <alignment horizontal="center"/>
      <protection hidden="1"/>
    </xf>
    <xf numFmtId="164" fontId="66" fillId="0" borderId="0" xfId="2" applyNumberFormat="1" applyFont="1" applyProtection="1">
      <protection hidden="1"/>
    </xf>
    <xf numFmtId="0" fontId="68" fillId="0" borderId="0" xfId="0" applyFont="1" applyProtection="1">
      <protection hidden="1"/>
    </xf>
    <xf numFmtId="9" fontId="66" fillId="0" borderId="0" xfId="2" applyNumberFormat="1" applyFont="1" applyAlignment="1" applyProtection="1">
      <alignment horizontal="center"/>
      <protection hidden="1"/>
    </xf>
    <xf numFmtId="9" fontId="66" fillId="0" borderId="0" xfId="2" applyFont="1" applyProtection="1">
      <protection hidden="1"/>
    </xf>
    <xf numFmtId="164" fontId="69" fillId="0" borderId="0" xfId="2" applyNumberFormat="1" applyFont="1" applyAlignment="1" applyProtection="1">
      <alignment horizontal="center"/>
      <protection hidden="1"/>
    </xf>
    <xf numFmtId="0" fontId="66" fillId="0" borderId="0" xfId="0" applyFont="1" applyAlignment="1" applyProtection="1">
      <alignment horizontal="center"/>
      <protection hidden="1"/>
    </xf>
    <xf numFmtId="0" fontId="58" fillId="0" borderId="0" xfId="0" applyFont="1" applyAlignment="1" applyProtection="1">
      <alignment horizontal="center"/>
      <protection hidden="1"/>
    </xf>
    <xf numFmtId="164" fontId="66" fillId="15" borderId="0" xfId="2" applyNumberFormat="1" applyFont="1" applyFill="1" applyAlignment="1" applyProtection="1">
      <alignment horizontal="center"/>
      <protection hidden="1"/>
    </xf>
    <xf numFmtId="9" fontId="66" fillId="0" borderId="0" xfId="2" applyFont="1" applyAlignment="1" applyProtection="1">
      <alignment horizontal="center"/>
      <protection hidden="1"/>
    </xf>
    <xf numFmtId="0" fontId="67" fillId="8" borderId="1" xfId="0" applyFont="1" applyFill="1" applyBorder="1" applyAlignment="1" applyProtection="1">
      <alignment horizontal="left"/>
      <protection hidden="1"/>
    </xf>
    <xf numFmtId="0" fontId="70" fillId="0" borderId="0" xfId="0" applyFont="1" applyProtection="1">
      <protection hidden="1"/>
    </xf>
    <xf numFmtId="0" fontId="71" fillId="4" borderId="31" xfId="0" applyFont="1" applyFill="1" applyBorder="1" applyAlignment="1" applyProtection="1">
      <alignment vertical="center"/>
      <protection hidden="1"/>
    </xf>
    <xf numFmtId="0" fontId="71" fillId="4" borderId="32" xfId="0" applyFont="1" applyFill="1" applyBorder="1" applyAlignment="1" applyProtection="1">
      <alignment horizontal="center" vertical="center"/>
      <protection hidden="1"/>
    </xf>
    <xf numFmtId="0" fontId="71" fillId="4" borderId="31" xfId="0" applyFont="1" applyFill="1" applyBorder="1" applyAlignment="1" applyProtection="1">
      <alignment horizontal="center" vertical="center"/>
      <protection hidden="1"/>
    </xf>
    <xf numFmtId="0" fontId="71" fillId="4" borderId="39" xfId="0" applyFont="1" applyFill="1" applyBorder="1" applyAlignment="1" applyProtection="1">
      <alignment horizontal="center" vertical="center"/>
      <protection hidden="1"/>
    </xf>
    <xf numFmtId="164" fontId="66" fillId="0" borderId="1" xfId="2" applyNumberFormat="1" applyFont="1" applyBorder="1" applyAlignment="1" applyProtection="1">
      <alignment horizontal="center"/>
      <protection hidden="1"/>
    </xf>
    <xf numFmtId="0" fontId="67" fillId="8" borderId="40" xfId="0" applyFont="1" applyFill="1" applyBorder="1" applyAlignment="1" applyProtection="1">
      <alignment horizontal="left" wrapText="1"/>
      <protection hidden="1"/>
    </xf>
    <xf numFmtId="164" fontId="66" fillId="10" borderId="1" xfId="2" applyNumberFormat="1" applyFont="1" applyFill="1" applyBorder="1" applyAlignment="1" applyProtection="1">
      <alignment horizontal="center"/>
      <protection hidden="1"/>
    </xf>
    <xf numFmtId="0" fontId="58" fillId="0" borderId="0" xfId="0" applyNumberFormat="1" applyFont="1" applyBorder="1" applyProtection="1">
      <protection hidden="1"/>
    </xf>
    <xf numFmtId="0" fontId="72" fillId="0" borderId="0" xfId="0" applyFont="1" applyProtection="1">
      <protection hidden="1"/>
    </xf>
    <xf numFmtId="0" fontId="71" fillId="4" borderId="38" xfId="0" applyFont="1" applyFill="1" applyBorder="1" applyAlignment="1" applyProtection="1">
      <alignment horizontal="left" vertical="center" wrapText="1"/>
      <protection hidden="1"/>
    </xf>
    <xf numFmtId="0" fontId="71" fillId="4" borderId="38" xfId="0" applyFont="1" applyFill="1" applyBorder="1" applyAlignment="1" applyProtection="1">
      <alignment horizontal="center" vertical="center" wrapText="1"/>
      <protection hidden="1"/>
    </xf>
    <xf numFmtId="0" fontId="58" fillId="10" borderId="3" xfId="0" applyFont="1" applyFill="1" applyBorder="1" applyAlignment="1" applyProtection="1">
      <alignment horizontal="center" vertical="center"/>
      <protection hidden="1"/>
    </xf>
    <xf numFmtId="0" fontId="58" fillId="10" borderId="3" xfId="0" applyNumberFormat="1" applyFont="1" applyFill="1" applyBorder="1" applyAlignment="1" applyProtection="1">
      <alignment horizontal="center" vertical="center"/>
      <protection hidden="1"/>
    </xf>
    <xf numFmtId="0" fontId="71" fillId="4" borderId="38" xfId="0" applyFont="1" applyFill="1" applyBorder="1" applyAlignment="1" applyProtection="1">
      <alignment vertical="center" wrapText="1"/>
      <protection hidden="1"/>
    </xf>
    <xf numFmtId="9" fontId="58" fillId="16" borderId="3" xfId="2" applyFont="1" applyFill="1" applyBorder="1" applyAlignment="1" applyProtection="1">
      <alignment horizontal="center" vertical="center"/>
      <protection hidden="1"/>
    </xf>
    <xf numFmtId="9" fontId="58" fillId="16" borderId="3" xfId="2" applyNumberFormat="1" applyFont="1" applyFill="1" applyBorder="1" applyAlignment="1" applyProtection="1">
      <alignment horizontal="center" vertical="center"/>
      <protection hidden="1"/>
    </xf>
    <xf numFmtId="0" fontId="71" fillId="4" borderId="29" xfId="0" applyFont="1" applyFill="1" applyBorder="1" applyAlignment="1" applyProtection="1">
      <alignment vertical="center"/>
      <protection hidden="1"/>
    </xf>
    <xf numFmtId="0" fontId="71" fillId="4" borderId="29" xfId="0" applyFont="1" applyFill="1" applyBorder="1" applyAlignment="1" applyProtection="1">
      <alignment horizontal="center" vertical="center"/>
      <protection hidden="1"/>
    </xf>
    <xf numFmtId="0" fontId="67" fillId="8" borderId="39" xfId="0" applyFont="1" applyFill="1" applyBorder="1" applyAlignment="1" applyProtection="1">
      <alignment horizontal="center" wrapText="1"/>
      <protection hidden="1"/>
    </xf>
    <xf numFmtId="164" fontId="69" fillId="10" borderId="30" xfId="2" applyNumberFormat="1" applyFont="1" applyFill="1" applyBorder="1" applyAlignment="1" applyProtection="1">
      <alignment horizontal="center"/>
      <protection hidden="1"/>
    </xf>
    <xf numFmtId="9" fontId="69" fillId="10" borderId="30" xfId="2" applyFont="1" applyFill="1" applyBorder="1" applyAlignment="1" applyProtection="1">
      <alignment horizontal="center" vertical="center"/>
      <protection hidden="1"/>
    </xf>
    <xf numFmtId="9" fontId="66" fillId="0" borderId="14" xfId="0" applyNumberFormat="1" applyFont="1" applyBorder="1" applyAlignment="1" applyProtection="1">
      <alignment horizontal="center"/>
      <protection hidden="1"/>
    </xf>
    <xf numFmtId="9" fontId="69" fillId="10" borderId="30" xfId="2" applyNumberFormat="1" applyFont="1" applyFill="1" applyBorder="1" applyAlignment="1" applyProtection="1">
      <alignment horizontal="center" vertical="center"/>
      <protection hidden="1"/>
    </xf>
    <xf numFmtId="0" fontId="66" fillId="0" borderId="0" xfId="0" applyFont="1" applyBorder="1" applyAlignment="1" applyProtection="1">
      <alignment horizontal="left"/>
      <protection hidden="1"/>
    </xf>
    <xf numFmtId="0" fontId="66" fillId="10" borderId="0" xfId="0" applyFont="1" applyFill="1" applyBorder="1" applyProtection="1">
      <protection hidden="1"/>
    </xf>
    <xf numFmtId="0" fontId="64" fillId="10" borderId="0" xfId="0" applyFont="1" applyFill="1" applyBorder="1" applyProtection="1">
      <protection hidden="1"/>
    </xf>
    <xf numFmtId="0" fontId="67" fillId="8" borderId="39" xfId="0" applyFont="1" applyFill="1" applyBorder="1" applyAlignment="1" applyProtection="1">
      <alignment horizontal="left" wrapText="1"/>
      <protection hidden="1"/>
    </xf>
    <xf numFmtId="0" fontId="67" fillId="8" borderId="0" xfId="0" applyFont="1" applyFill="1" applyBorder="1" applyAlignment="1" applyProtection="1">
      <alignment horizontal="center" wrapText="1"/>
      <protection hidden="1"/>
    </xf>
    <xf numFmtId="9" fontId="66" fillId="0" borderId="39" xfId="0" applyNumberFormat="1" applyFont="1" applyBorder="1" applyAlignment="1" applyProtection="1">
      <alignment horizontal="center"/>
      <protection hidden="1"/>
    </xf>
    <xf numFmtId="3" fontId="69" fillId="10" borderId="0" xfId="1" applyNumberFormat="1" applyFont="1" applyFill="1" applyAlignment="1" applyProtection="1">
      <alignment horizontal="center"/>
      <protection hidden="1"/>
    </xf>
    <xf numFmtId="164" fontId="66" fillId="14" borderId="0" xfId="2" applyNumberFormat="1" applyFont="1" applyFill="1" applyAlignment="1" applyProtection="1">
      <alignment horizontal="center"/>
      <protection hidden="1"/>
    </xf>
    <xf numFmtId="3" fontId="69" fillId="10" borderId="1" xfId="1" applyNumberFormat="1" applyFont="1" applyFill="1" applyBorder="1" applyAlignment="1" applyProtection="1">
      <alignment horizontal="center"/>
      <protection hidden="1"/>
    </xf>
    <xf numFmtId="164" fontId="69" fillId="14" borderId="44" xfId="2" applyNumberFormat="1" applyFont="1" applyFill="1" applyBorder="1" applyAlignment="1" applyProtection="1">
      <alignment horizontal="center"/>
      <protection hidden="1"/>
    </xf>
    <xf numFmtId="0" fontId="71" fillId="4" borderId="23" xfId="0" applyFont="1" applyFill="1" applyBorder="1" applyAlignment="1" applyProtection="1">
      <alignment horizontal="left" vertical="center"/>
      <protection hidden="1"/>
    </xf>
    <xf numFmtId="0" fontId="71" fillId="4" borderId="5" xfId="0" applyFont="1" applyFill="1" applyBorder="1" applyAlignment="1" applyProtection="1">
      <alignment horizontal="center" vertical="center"/>
      <protection hidden="1"/>
    </xf>
    <xf numFmtId="0" fontId="71" fillId="4" borderId="6" xfId="0" applyFont="1" applyFill="1" applyBorder="1" applyAlignment="1" applyProtection="1">
      <alignment horizontal="center" vertical="center"/>
      <protection hidden="1"/>
    </xf>
    <xf numFmtId="165" fontId="66" fillId="0" borderId="0" xfId="0" applyNumberFormat="1" applyFont="1" applyAlignment="1" applyProtection="1">
      <alignment horizontal="center"/>
      <protection hidden="1"/>
    </xf>
    <xf numFmtId="0" fontId="58" fillId="0" borderId="0" xfId="0" applyNumberFormat="1" applyFont="1" applyBorder="1" applyAlignment="1" applyProtection="1">
      <alignment horizontal="left"/>
      <protection hidden="1"/>
    </xf>
    <xf numFmtId="165" fontId="66" fillId="0" borderId="0" xfId="0" applyNumberFormat="1" applyFont="1" applyBorder="1" applyAlignment="1" applyProtection="1">
      <alignment horizontal="center"/>
      <protection hidden="1"/>
    </xf>
    <xf numFmtId="0" fontId="65" fillId="3" borderId="0" xfId="162" applyFont="1" applyFill="1" applyBorder="1" applyAlignment="1" applyProtection="1">
      <alignment horizontal="center"/>
      <protection hidden="1"/>
    </xf>
    <xf numFmtId="0" fontId="66" fillId="0" borderId="0" xfId="0" applyFont="1" applyFill="1" applyAlignment="1" applyProtection="1">
      <alignment horizontal="center"/>
      <protection hidden="1"/>
    </xf>
    <xf numFmtId="0" fontId="71" fillId="4" borderId="0" xfId="0" applyFont="1" applyFill="1" applyBorder="1" applyAlignment="1" applyProtection="1">
      <alignment horizontal="center" vertical="center"/>
      <protection hidden="1"/>
    </xf>
    <xf numFmtId="0" fontId="71" fillId="4" borderId="4" xfId="0" applyFont="1" applyFill="1" applyBorder="1" applyAlignment="1" applyProtection="1">
      <alignment horizontal="center" vertical="center"/>
      <protection hidden="1"/>
    </xf>
    <xf numFmtId="37" fontId="66" fillId="10" borderId="0" xfId="1" applyNumberFormat="1" applyFont="1" applyFill="1" applyAlignment="1" applyProtection="1">
      <alignment horizontal="center" vertical="center"/>
      <protection hidden="1"/>
    </xf>
    <xf numFmtId="165" fontId="66" fillId="0" borderId="0" xfId="0" applyNumberFormat="1" applyFont="1" applyAlignment="1" applyProtection="1">
      <alignment horizontal="center" vertical="center"/>
      <protection hidden="1"/>
    </xf>
    <xf numFmtId="5" fontId="66" fillId="0" borderId="0" xfId="3" applyNumberFormat="1" applyFont="1" applyFill="1" applyAlignment="1" applyProtection="1">
      <alignment horizontal="center" vertical="center"/>
      <protection hidden="1"/>
    </xf>
    <xf numFmtId="37" fontId="66" fillId="0" borderId="0" xfId="1" applyNumberFormat="1" applyFont="1" applyBorder="1" applyAlignment="1" applyProtection="1">
      <alignment horizontal="center" vertical="center"/>
      <protection hidden="1"/>
    </xf>
    <xf numFmtId="165" fontId="66" fillId="0" borderId="0" xfId="0" applyNumberFormat="1" applyFont="1" applyBorder="1" applyAlignment="1" applyProtection="1">
      <alignment horizontal="center" vertical="center"/>
      <protection hidden="1"/>
    </xf>
    <xf numFmtId="167" fontId="66" fillId="0" borderId="0" xfId="3" applyNumberFormat="1" applyFont="1" applyBorder="1" applyAlignment="1" applyProtection="1">
      <alignment horizontal="center"/>
      <protection hidden="1"/>
    </xf>
    <xf numFmtId="3" fontId="66" fillId="0" borderId="0" xfId="0" applyNumberFormat="1" applyFont="1" applyAlignment="1" applyProtection="1">
      <alignment horizontal="center" vertical="center"/>
      <protection hidden="1"/>
    </xf>
    <xf numFmtId="3" fontId="66" fillId="0" borderId="0" xfId="0" applyNumberFormat="1" applyFont="1" applyBorder="1" applyAlignment="1" applyProtection="1">
      <alignment horizontal="center" vertical="center"/>
      <protection hidden="1"/>
    </xf>
    <xf numFmtId="5" fontId="66" fillId="0" borderId="0" xfId="3" applyNumberFormat="1" applyFont="1" applyFill="1" applyBorder="1" applyAlignment="1" applyProtection="1">
      <alignment horizontal="center" vertical="center"/>
      <protection hidden="1"/>
    </xf>
    <xf numFmtId="0" fontId="71" fillId="9" borderId="15" xfId="0" applyFont="1" applyFill="1" applyBorder="1" applyAlignment="1" applyProtection="1">
      <alignment horizontal="center" vertical="center"/>
      <protection hidden="1"/>
    </xf>
    <xf numFmtId="0" fontId="67" fillId="0" borderId="4" xfId="0" applyFont="1" applyFill="1" applyBorder="1" applyAlignment="1" applyProtection="1">
      <alignment horizontal="center" vertical="center"/>
      <protection hidden="1"/>
    </xf>
    <xf numFmtId="0" fontId="67" fillId="0" borderId="0" xfId="0" applyFont="1" applyFill="1" applyBorder="1" applyAlignment="1" applyProtection="1">
      <alignment horizontal="center" vertical="center"/>
      <protection hidden="1"/>
    </xf>
    <xf numFmtId="0" fontId="66" fillId="0" borderId="0" xfId="0" applyFont="1" applyBorder="1" applyProtection="1">
      <protection hidden="1"/>
    </xf>
    <xf numFmtId="164" fontId="58" fillId="0" borderId="16" xfId="0" applyNumberFormat="1" applyFont="1" applyBorder="1" applyAlignment="1" applyProtection="1">
      <alignment horizontal="center"/>
      <protection hidden="1"/>
    </xf>
    <xf numFmtId="0" fontId="66" fillId="0" borderId="0" xfId="0" applyFont="1" applyBorder="1" applyAlignment="1" applyProtection="1">
      <alignment horizontal="center"/>
      <protection hidden="1"/>
    </xf>
    <xf numFmtId="164" fontId="66" fillId="0" borderId="0" xfId="2" applyNumberFormat="1" applyFont="1" applyBorder="1" applyAlignment="1" applyProtection="1">
      <alignment horizontal="center"/>
      <protection hidden="1"/>
    </xf>
    <xf numFmtId="3" fontId="66" fillId="0" borderId="0" xfId="1" applyNumberFormat="1" applyFont="1" applyAlignment="1" applyProtection="1">
      <alignment horizontal="center" vertical="center"/>
      <protection hidden="1"/>
    </xf>
    <xf numFmtId="165" fontId="66" fillId="0" borderId="0" xfId="3" applyNumberFormat="1" applyFont="1" applyAlignment="1" applyProtection="1">
      <alignment horizontal="center" vertical="center"/>
      <protection hidden="1"/>
    </xf>
    <xf numFmtId="164" fontId="58" fillId="0" borderId="13" xfId="0" applyNumberFormat="1" applyFont="1" applyBorder="1" applyAlignment="1" applyProtection="1">
      <alignment horizontal="center"/>
      <protection hidden="1"/>
    </xf>
    <xf numFmtId="0" fontId="66" fillId="0" borderId="0" xfId="0" applyFont="1" applyAlignment="1" applyProtection="1">
      <alignment horizontal="left"/>
      <protection hidden="1"/>
    </xf>
    <xf numFmtId="0" fontId="71" fillId="4" borderId="38" xfId="0" applyFont="1" applyFill="1" applyBorder="1" applyAlignment="1" applyProtection="1">
      <alignment horizontal="left" vertical="center"/>
      <protection hidden="1"/>
    </xf>
    <xf numFmtId="0" fontId="71" fillId="4" borderId="38" xfId="0" applyFont="1" applyFill="1" applyBorder="1" applyAlignment="1" applyProtection="1">
      <alignment horizontal="center" vertical="center"/>
      <protection hidden="1"/>
    </xf>
    <xf numFmtId="0" fontId="71" fillId="9" borderId="38" xfId="0" applyFont="1" applyFill="1" applyBorder="1" applyAlignment="1" applyProtection="1">
      <alignment horizontal="center" vertical="center"/>
      <protection hidden="1"/>
    </xf>
    <xf numFmtId="0" fontId="67" fillId="0" borderId="38" xfId="0" applyFont="1" applyFill="1" applyBorder="1" applyAlignment="1" applyProtection="1">
      <alignment horizontal="center" vertical="center"/>
      <protection hidden="1"/>
    </xf>
    <xf numFmtId="3" fontId="66" fillId="0" borderId="3" xfId="0" applyNumberFormat="1" applyFont="1" applyBorder="1" applyAlignment="1" applyProtection="1">
      <alignment horizontal="center" vertical="center"/>
      <protection hidden="1"/>
    </xf>
    <xf numFmtId="5" fontId="66" fillId="0" borderId="3" xfId="3" applyNumberFormat="1" applyFont="1" applyBorder="1" applyAlignment="1" applyProtection="1">
      <alignment horizontal="center"/>
      <protection hidden="1"/>
    </xf>
    <xf numFmtId="164" fontId="58" fillId="0" borderId="3" xfId="0" applyNumberFormat="1" applyFont="1" applyBorder="1" applyAlignment="1" applyProtection="1">
      <alignment horizontal="center"/>
      <protection hidden="1"/>
    </xf>
    <xf numFmtId="5" fontId="66" fillId="0" borderId="3" xfId="3" applyNumberFormat="1" applyFont="1" applyFill="1" applyBorder="1" applyAlignment="1" applyProtection="1">
      <alignment horizontal="center" vertical="center"/>
      <protection hidden="1"/>
    </xf>
    <xf numFmtId="3" fontId="66" fillId="0" borderId="3" xfId="1" applyNumberFormat="1" applyFont="1" applyBorder="1" applyAlignment="1" applyProtection="1">
      <alignment horizontal="center" vertical="center"/>
      <protection hidden="1"/>
    </xf>
    <xf numFmtId="164" fontId="58" fillId="0" borderId="3" xfId="2" applyNumberFormat="1" applyFont="1" applyBorder="1" applyAlignment="1" applyProtection="1">
      <alignment horizontal="center"/>
      <protection hidden="1"/>
    </xf>
    <xf numFmtId="166" fontId="66" fillId="0" borderId="0" xfId="1" applyNumberFormat="1" applyFont="1" applyAlignment="1" applyProtection="1">
      <alignment horizontal="center"/>
      <protection hidden="1"/>
    </xf>
    <xf numFmtId="167" fontId="66" fillId="0" borderId="0" xfId="3" applyNumberFormat="1" applyFont="1" applyAlignment="1" applyProtection="1">
      <alignment horizontal="center"/>
      <protection hidden="1"/>
    </xf>
    <xf numFmtId="5" fontId="66" fillId="0" borderId="0" xfId="3" applyNumberFormat="1" applyFont="1" applyAlignment="1" applyProtection="1">
      <alignment horizontal="center"/>
      <protection hidden="1"/>
    </xf>
    <xf numFmtId="167" fontId="66" fillId="0" borderId="0" xfId="3" applyNumberFormat="1" applyFont="1" applyFill="1" applyAlignment="1" applyProtection="1">
      <alignment horizontal="center"/>
      <protection hidden="1"/>
    </xf>
    <xf numFmtId="5" fontId="66" fillId="0" borderId="0" xfId="3" applyNumberFormat="1" applyFont="1" applyFill="1" applyAlignment="1" applyProtection="1">
      <alignment horizontal="center"/>
      <protection hidden="1"/>
    </xf>
    <xf numFmtId="0" fontId="73" fillId="0" borderId="0" xfId="0" applyFont="1" applyAlignment="1" applyProtection="1">
      <alignment horizontal="center"/>
      <protection hidden="1"/>
    </xf>
    <xf numFmtId="9" fontId="66" fillId="0" borderId="0" xfId="2" applyFont="1" applyAlignment="1" applyProtection="1">
      <alignment horizontal="center" vertical="center"/>
      <protection hidden="1"/>
    </xf>
    <xf numFmtId="0" fontId="67" fillId="0" borderId="0" xfId="0" applyFont="1" applyFill="1" applyAlignment="1" applyProtection="1">
      <alignment horizontal="center" vertical="center"/>
      <protection hidden="1"/>
    </xf>
    <xf numFmtId="3" fontId="66" fillId="0" borderId="0" xfId="1" applyNumberFormat="1" applyFont="1" applyBorder="1" applyAlignment="1" applyProtection="1">
      <alignment horizontal="center" vertical="center"/>
      <protection hidden="1"/>
    </xf>
    <xf numFmtId="5" fontId="66" fillId="0" borderId="0" xfId="3" applyNumberFormat="1" applyFont="1" applyBorder="1" applyAlignment="1" applyProtection="1">
      <alignment horizontal="center"/>
      <protection hidden="1"/>
    </xf>
    <xf numFmtId="7" fontId="66" fillId="0" borderId="0" xfId="3" applyNumberFormat="1" applyFont="1" applyBorder="1" applyAlignment="1" applyProtection="1">
      <alignment horizontal="center" vertical="center"/>
      <protection hidden="1"/>
    </xf>
    <xf numFmtId="7" fontId="66" fillId="0" borderId="0" xfId="3" applyNumberFormat="1" applyFont="1" applyFill="1" applyAlignment="1" applyProtection="1">
      <alignment horizontal="center" vertical="center"/>
      <protection hidden="1"/>
    </xf>
    <xf numFmtId="0" fontId="71" fillId="4" borderId="2" xfId="0" applyFont="1" applyFill="1" applyBorder="1" applyAlignment="1" applyProtection="1">
      <alignment horizontal="center" vertical="center" wrapText="1"/>
      <protection hidden="1"/>
    </xf>
    <xf numFmtId="0" fontId="67" fillId="8" borderId="1" xfId="0" applyFont="1" applyFill="1" applyBorder="1" applyAlignment="1" applyProtection="1">
      <alignment horizontal="center" vertical="center"/>
      <protection hidden="1"/>
    </xf>
    <xf numFmtId="0" fontId="71" fillId="4" borderId="41" xfId="0" applyFont="1" applyFill="1" applyBorder="1" applyAlignment="1" applyProtection="1">
      <alignment horizontal="center" vertical="center" wrapText="1"/>
      <protection hidden="1"/>
    </xf>
    <xf numFmtId="0" fontId="74" fillId="0" borderId="0" xfId="0" applyFont="1" applyAlignment="1" applyProtection="1">
      <alignment horizontal="center"/>
      <protection hidden="1"/>
    </xf>
    <xf numFmtId="0" fontId="71" fillId="4" borderId="42" xfId="0" applyFont="1" applyFill="1" applyBorder="1" applyAlignment="1" applyProtection="1">
      <alignment horizontal="left" vertical="center"/>
      <protection hidden="1"/>
    </xf>
    <xf numFmtId="0" fontId="71" fillId="4" borderId="40" xfId="0" applyFont="1" applyFill="1" applyBorder="1" applyAlignment="1" applyProtection="1">
      <alignment horizontal="center" vertical="center" wrapText="1"/>
      <protection hidden="1"/>
    </xf>
    <xf numFmtId="5" fontId="66" fillId="0" borderId="1" xfId="3" applyNumberFormat="1" applyFont="1" applyFill="1" applyBorder="1" applyAlignment="1" applyProtection="1">
      <alignment horizontal="center" vertical="center"/>
      <protection hidden="1"/>
    </xf>
    <xf numFmtId="5" fontId="66" fillId="0" borderId="41" xfId="3" applyNumberFormat="1" applyFont="1" applyFill="1" applyBorder="1" applyAlignment="1" applyProtection="1">
      <alignment horizontal="center" vertical="center"/>
      <protection hidden="1"/>
    </xf>
    <xf numFmtId="5" fontId="66" fillId="0" borderId="43" xfId="3" applyNumberFormat="1" applyFont="1" applyFill="1" applyBorder="1" applyAlignment="1" applyProtection="1">
      <alignment horizontal="center" vertical="center"/>
      <protection hidden="1"/>
    </xf>
    <xf numFmtId="165" fontId="66" fillId="0" borderId="0" xfId="2" applyNumberFormat="1" applyFont="1" applyBorder="1" applyAlignment="1" applyProtection="1">
      <alignment horizontal="center" vertical="center"/>
      <protection hidden="1"/>
    </xf>
    <xf numFmtId="0" fontId="71" fillId="4" borderId="37" xfId="0" applyFont="1" applyFill="1" applyBorder="1" applyAlignment="1" applyProtection="1">
      <alignment horizontal="left" vertical="center"/>
      <protection hidden="1"/>
    </xf>
    <xf numFmtId="0" fontId="71" fillId="4" borderId="37" xfId="0" applyFont="1" applyFill="1" applyBorder="1" applyAlignment="1" applyProtection="1">
      <alignment horizontal="center" vertical="center"/>
      <protection hidden="1"/>
    </xf>
    <xf numFmtId="0" fontId="71" fillId="4" borderId="8" xfId="0" applyFont="1" applyFill="1" applyBorder="1" applyAlignment="1" applyProtection="1">
      <alignment horizontal="center" vertical="center"/>
      <protection hidden="1"/>
    </xf>
    <xf numFmtId="0" fontId="71" fillId="4" borderId="4" xfId="0" applyFont="1" applyFill="1" applyBorder="1" applyAlignment="1" applyProtection="1">
      <alignment horizontal="center" vertical="center" wrapText="1"/>
      <protection hidden="1"/>
    </xf>
    <xf numFmtId="0" fontId="71" fillId="4" borderId="0" xfId="0" applyFont="1" applyFill="1" applyAlignment="1" applyProtection="1">
      <alignment horizontal="center" vertical="center" wrapText="1"/>
      <protection hidden="1"/>
    </xf>
    <xf numFmtId="0" fontId="66" fillId="0" borderId="2" xfId="0" applyFont="1" applyBorder="1" applyAlignment="1" applyProtection="1">
      <alignment horizontal="left" vertical="center"/>
      <protection hidden="1"/>
    </xf>
    <xf numFmtId="5" fontId="66" fillId="0" borderId="0" xfId="0" applyNumberFormat="1" applyFont="1" applyBorder="1" applyAlignment="1" applyProtection="1">
      <alignment horizontal="center" vertical="center"/>
      <protection hidden="1"/>
    </xf>
    <xf numFmtId="0" fontId="66" fillId="0" borderId="0" xfId="0" applyFont="1" applyBorder="1" applyAlignment="1" applyProtection="1">
      <alignment horizontal="left" vertical="center"/>
      <protection hidden="1"/>
    </xf>
    <xf numFmtId="0" fontId="71" fillId="4" borderId="7" xfId="0" applyFont="1" applyFill="1" applyBorder="1" applyAlignment="1" applyProtection="1">
      <alignment horizontal="left" vertical="center"/>
      <protection hidden="1"/>
    </xf>
    <xf numFmtId="0" fontId="71" fillId="4" borderId="9" xfId="0" applyFont="1" applyFill="1" applyBorder="1" applyAlignment="1" applyProtection="1">
      <alignment horizontal="center" vertical="center"/>
      <protection hidden="1"/>
    </xf>
    <xf numFmtId="44" fontId="66" fillId="0" borderId="0" xfId="0" applyNumberFormat="1" applyFont="1" applyBorder="1" applyAlignment="1" applyProtection="1">
      <alignment horizontal="center"/>
      <protection hidden="1"/>
    </xf>
    <xf numFmtId="9" fontId="66" fillId="0" borderId="0" xfId="0" applyNumberFormat="1" applyFont="1" applyBorder="1" applyAlignment="1" applyProtection="1">
      <alignment horizontal="center"/>
      <protection hidden="1"/>
    </xf>
    <xf numFmtId="0" fontId="66" fillId="12" borderId="0" xfId="0" applyFont="1" applyFill="1" applyAlignment="1" applyProtection="1">
      <alignment horizontal="center"/>
      <protection hidden="1"/>
    </xf>
    <xf numFmtId="0" fontId="66" fillId="12" borderId="0" xfId="0" applyFont="1" applyFill="1" applyAlignment="1" applyProtection="1">
      <protection hidden="1"/>
    </xf>
    <xf numFmtId="0" fontId="71" fillId="9" borderId="38" xfId="0" applyFont="1" applyFill="1" applyBorder="1" applyAlignment="1" applyProtection="1">
      <alignment horizontal="center"/>
      <protection hidden="1"/>
    </xf>
    <xf numFmtId="165" fontId="66" fillId="0" borderId="3" xfId="0" applyNumberFormat="1" applyFont="1" applyBorder="1" applyAlignment="1" applyProtection="1">
      <alignment horizontal="center" vertical="center"/>
      <protection hidden="1"/>
    </xf>
    <xf numFmtId="164" fontId="66" fillId="0" borderId="3" xfId="2" applyNumberFormat="1" applyFont="1" applyBorder="1" applyAlignment="1" applyProtection="1">
      <alignment horizontal="center"/>
      <protection hidden="1"/>
    </xf>
    <xf numFmtId="0" fontId="66" fillId="0" borderId="3" xfId="0" applyFont="1" applyBorder="1" applyAlignment="1" applyProtection="1">
      <alignment horizontal="center"/>
      <protection hidden="1"/>
    </xf>
    <xf numFmtId="0" fontId="66" fillId="0" borderId="3" xfId="0" applyNumberFormat="1" applyFont="1" applyBorder="1" applyAlignment="1" applyProtection="1">
      <alignment horizontal="center"/>
      <protection hidden="1"/>
    </xf>
    <xf numFmtId="0" fontId="58" fillId="0" borderId="0" xfId="0" applyFont="1" applyBorder="1" applyAlignment="1" applyProtection="1">
      <alignment horizontal="left" vertical="center"/>
      <protection hidden="1"/>
    </xf>
    <xf numFmtId="0" fontId="58" fillId="0" borderId="0" xfId="0" applyFont="1" applyBorder="1" applyAlignment="1" applyProtection="1">
      <alignment horizontal="center" vertical="center"/>
      <protection hidden="1"/>
    </xf>
    <xf numFmtId="165" fontId="58" fillId="13" borderId="3" xfId="3" applyNumberFormat="1" applyFont="1" applyFill="1" applyBorder="1" applyAlignment="1" applyProtection="1">
      <alignment horizontal="center" vertical="center"/>
      <protection hidden="1"/>
    </xf>
    <xf numFmtId="0" fontId="67" fillId="8" borderId="38" xfId="0" applyFont="1" applyFill="1" applyBorder="1" applyAlignment="1" applyProtection="1">
      <alignment horizontal="left"/>
      <protection hidden="1"/>
    </xf>
    <xf numFmtId="0" fontId="73" fillId="0" borderId="38" xfId="0" applyFont="1" applyBorder="1" applyAlignment="1" applyProtection="1">
      <alignment horizontal="center"/>
      <protection hidden="1"/>
    </xf>
    <xf numFmtId="3" fontId="69" fillId="10" borderId="3" xfId="1" applyNumberFormat="1" applyFont="1" applyFill="1" applyBorder="1" applyAlignment="1" applyProtection="1">
      <alignment horizontal="center"/>
      <protection hidden="1"/>
    </xf>
    <xf numFmtId="3" fontId="69" fillId="0" borderId="3" xfId="1" applyNumberFormat="1" applyFont="1" applyBorder="1" applyAlignment="1" applyProtection="1">
      <alignment horizontal="center"/>
      <protection hidden="1"/>
    </xf>
    <xf numFmtId="9" fontId="66" fillId="0" borderId="3" xfId="2" applyFont="1" applyBorder="1" applyAlignment="1" applyProtection="1">
      <alignment horizontal="center"/>
      <protection hidden="1"/>
    </xf>
    <xf numFmtId="9" fontId="66" fillId="0" borderId="3" xfId="2" applyNumberFormat="1" applyFont="1" applyBorder="1" applyAlignment="1" applyProtection="1">
      <alignment horizontal="center"/>
      <protection hidden="1"/>
    </xf>
    <xf numFmtId="0" fontId="66" fillId="10" borderId="0" xfId="0" applyFont="1" applyFill="1" applyProtection="1">
      <protection hidden="1"/>
    </xf>
    <xf numFmtId="0" fontId="58" fillId="3" borderId="25" xfId="0" applyFont="1" applyFill="1" applyBorder="1" applyAlignment="1" applyProtection="1">
      <alignment horizontal="center" wrapText="1"/>
      <protection hidden="1"/>
    </xf>
    <xf numFmtId="0" fontId="73" fillId="0" borderId="38" xfId="0" applyFont="1" applyBorder="1" applyAlignment="1" applyProtection="1">
      <alignment horizontal="center" wrapText="1"/>
      <protection hidden="1"/>
    </xf>
    <xf numFmtId="0" fontId="73" fillId="0" borderId="38" xfId="0" applyFont="1" applyBorder="1" applyAlignment="1" applyProtection="1">
      <alignment horizontal="left" wrapText="1"/>
      <protection hidden="1"/>
    </xf>
    <xf numFmtId="2" fontId="69" fillId="0" borderId="3" xfId="1" applyNumberFormat="1" applyFont="1" applyBorder="1" applyAlignment="1" applyProtection="1">
      <alignment horizontal="center"/>
      <protection hidden="1"/>
    </xf>
    <xf numFmtId="0" fontId="67" fillId="8" borderId="38" xfId="0" applyFont="1" applyFill="1" applyBorder="1" applyProtection="1">
      <protection hidden="1"/>
    </xf>
    <xf numFmtId="169" fontId="69" fillId="0" borderId="3" xfId="1" applyNumberFormat="1" applyFont="1" applyBorder="1" applyAlignment="1" applyProtection="1">
      <alignment horizontal="center"/>
      <protection hidden="1"/>
    </xf>
    <xf numFmtId="0" fontId="67" fillId="0" borderId="38" xfId="0" applyFont="1" applyFill="1" applyBorder="1" applyAlignment="1" applyProtection="1">
      <alignment horizontal="left"/>
      <protection hidden="1"/>
    </xf>
    <xf numFmtId="0" fontId="66" fillId="12" borderId="0" xfId="0" applyFont="1" applyFill="1" applyProtection="1">
      <protection hidden="1"/>
    </xf>
    <xf numFmtId="0" fontId="70" fillId="0" borderId="0" xfId="0" applyFont="1" applyAlignment="1" applyProtection="1">
      <alignment horizontal="center"/>
      <protection hidden="1"/>
    </xf>
    <xf numFmtId="0" fontId="70" fillId="0" borderId="0" xfId="0" applyFont="1" applyAlignment="1" applyProtection="1">
      <alignment horizontal="left"/>
      <protection hidden="1"/>
    </xf>
    <xf numFmtId="0" fontId="66" fillId="0" borderId="0" xfId="0" applyFont="1" applyAlignment="1" applyProtection="1">
      <alignment horizontal="center" wrapText="1"/>
      <protection hidden="1"/>
    </xf>
    <xf numFmtId="0" fontId="69" fillId="3" borderId="11" xfId="162" applyFont="1" applyFill="1" applyBorder="1" applyAlignment="1" applyProtection="1">
      <alignment horizontal="right"/>
      <protection hidden="1"/>
    </xf>
    <xf numFmtId="0" fontId="76" fillId="10" borderId="10" xfId="160" applyFont="1" applyFill="1" applyBorder="1" applyAlignment="1" applyProtection="1">
      <alignment horizontal="center"/>
      <protection hidden="1"/>
    </xf>
    <xf numFmtId="0" fontId="65" fillId="3" borderId="11" xfId="162" applyFont="1" applyFill="1" applyBorder="1" applyAlignment="1" applyProtection="1">
      <alignment horizontal="left"/>
      <protection hidden="1"/>
    </xf>
    <xf numFmtId="165" fontId="76" fillId="10" borderId="10" xfId="160" applyNumberFormat="1" applyFont="1" applyFill="1" applyBorder="1" applyAlignment="1" applyProtection="1">
      <alignment horizontal="center"/>
      <protection hidden="1"/>
    </xf>
    <xf numFmtId="0" fontId="67" fillId="8" borderId="12" xfId="0" applyFont="1" applyFill="1" applyBorder="1" applyAlignment="1" applyProtection="1">
      <alignment horizontal="center"/>
      <protection hidden="1"/>
    </xf>
    <xf numFmtId="167" fontId="66" fillId="0" borderId="0" xfId="3" applyNumberFormat="1" applyFont="1" applyProtection="1">
      <protection hidden="1"/>
    </xf>
    <xf numFmtId="0" fontId="58" fillId="0" borderId="1" xfId="0" applyFont="1" applyBorder="1" applyAlignment="1" applyProtection="1">
      <alignment horizontal="right" vertical="center" wrapText="1"/>
      <protection hidden="1"/>
    </xf>
    <xf numFmtId="0" fontId="58" fillId="0" borderId="2" xfId="0" applyFont="1" applyBorder="1" applyAlignment="1" applyProtection="1">
      <alignment horizontal="right" vertical="center" wrapText="1"/>
      <protection hidden="1"/>
    </xf>
    <xf numFmtId="0" fontId="58" fillId="0" borderId="0" xfId="0" applyFont="1" applyProtection="1">
      <protection hidden="1"/>
    </xf>
    <xf numFmtId="0" fontId="71" fillId="9" borderId="0" xfId="0" applyFont="1" applyFill="1" applyBorder="1" applyAlignment="1" applyProtection="1">
      <alignment horizontal="center"/>
      <protection hidden="1"/>
    </xf>
    <xf numFmtId="0" fontId="58" fillId="0" borderId="13" xfId="0" applyFont="1" applyBorder="1" applyAlignment="1" applyProtection="1">
      <alignment horizontal="center"/>
      <protection hidden="1"/>
    </xf>
    <xf numFmtId="0" fontId="58" fillId="0" borderId="14" xfId="0" applyFont="1" applyBorder="1" applyAlignment="1" applyProtection="1">
      <alignment horizontal="center"/>
      <protection hidden="1"/>
    </xf>
    <xf numFmtId="0" fontId="67" fillId="8" borderId="0" xfId="0" applyFont="1" applyFill="1" applyBorder="1" applyAlignment="1" applyProtection="1">
      <alignment horizontal="center"/>
      <protection hidden="1"/>
    </xf>
    <xf numFmtId="0" fontId="66" fillId="0" borderId="1" xfId="0" applyFont="1" applyBorder="1" applyAlignment="1" applyProtection="1">
      <alignment horizontal="center" vertical="center"/>
      <protection hidden="1"/>
    </xf>
    <xf numFmtId="0" fontId="66" fillId="0" borderId="3" xfId="0" applyFont="1" applyBorder="1" applyAlignment="1" applyProtection="1">
      <alignment horizontal="center" vertical="center"/>
      <protection hidden="1"/>
    </xf>
    <xf numFmtId="0" fontId="73" fillId="2" borderId="0" xfId="0" applyFont="1" applyFill="1" applyBorder="1" applyAlignment="1" applyProtection="1">
      <alignment horizontal="justify" wrapText="1"/>
      <protection hidden="1"/>
    </xf>
    <xf numFmtId="0" fontId="67" fillId="8" borderId="0" xfId="0" applyFont="1" applyFill="1" applyBorder="1" applyProtection="1">
      <protection hidden="1"/>
    </xf>
    <xf numFmtId="0" fontId="67" fillId="2" borderId="0" xfId="0" applyFont="1" applyFill="1" applyBorder="1" applyProtection="1">
      <protection hidden="1"/>
    </xf>
    <xf numFmtId="0" fontId="66" fillId="0" borderId="28" xfId="0" applyFont="1" applyBorder="1" applyProtection="1">
      <protection hidden="1"/>
    </xf>
    <xf numFmtId="0" fontId="66" fillId="0" borderId="27" xfId="0" applyFont="1" applyBorder="1" applyProtection="1">
      <protection hidden="1"/>
    </xf>
    <xf numFmtId="0" fontId="73" fillId="2" borderId="0" xfId="0" applyFont="1" applyFill="1" applyBorder="1" applyAlignment="1" applyProtection="1">
      <alignment horizontal="center" wrapText="1"/>
      <protection hidden="1"/>
    </xf>
    <xf numFmtId="0" fontId="58" fillId="3" borderId="0" xfId="0" applyFont="1" applyFill="1" applyBorder="1" applyAlignment="1" applyProtection="1">
      <alignment horizontal="left" vertical="center"/>
      <protection hidden="1"/>
    </xf>
    <xf numFmtId="0" fontId="58" fillId="3" borderId="0" xfId="0" applyFont="1" applyFill="1" applyBorder="1" applyAlignment="1" applyProtection="1">
      <alignment horizontal="justify" wrapText="1"/>
      <protection hidden="1"/>
    </xf>
    <xf numFmtId="0" fontId="58" fillId="3" borderId="0" xfId="0" applyFont="1" applyFill="1" applyBorder="1" applyAlignment="1" applyProtection="1">
      <alignment horizontal="center" wrapText="1"/>
      <protection hidden="1"/>
    </xf>
    <xf numFmtId="0" fontId="58" fillId="10" borderId="0" xfId="0" applyFont="1" applyFill="1" applyBorder="1" applyAlignment="1" applyProtection="1">
      <alignment horizontal="justify" vertical="center" wrapText="1"/>
      <protection hidden="1"/>
    </xf>
    <xf numFmtId="0" fontId="58" fillId="0" borderId="0" xfId="0" applyFont="1" applyBorder="1" applyAlignment="1" applyProtection="1">
      <alignment horizontal="justify" vertical="center" wrapText="1"/>
      <protection hidden="1"/>
    </xf>
    <xf numFmtId="165" fontId="69" fillId="11" borderId="0" xfId="0" applyNumberFormat="1" applyFont="1" applyFill="1" applyBorder="1" applyAlignment="1" applyProtection="1">
      <alignment horizontal="center"/>
      <protection hidden="1"/>
    </xf>
    <xf numFmtId="0" fontId="66" fillId="0" borderId="27" xfId="0" applyFont="1" applyBorder="1" applyAlignment="1" applyProtection="1">
      <alignment horizontal="center"/>
      <protection hidden="1"/>
    </xf>
    <xf numFmtId="0" fontId="66" fillId="0" borderId="53" xfId="0" applyFont="1" applyBorder="1" applyProtection="1">
      <protection hidden="1"/>
    </xf>
    <xf numFmtId="0" fontId="66" fillId="0" borderId="45" xfId="0" applyFont="1" applyBorder="1" applyProtection="1">
      <protection hidden="1"/>
    </xf>
    <xf numFmtId="8" fontId="77" fillId="0" borderId="0" xfId="0" applyNumberFormat="1" applyFont="1" applyBorder="1" applyProtection="1">
      <protection hidden="1"/>
    </xf>
    <xf numFmtId="165" fontId="66" fillId="0" borderId="0" xfId="0" applyNumberFormat="1" applyFont="1" applyBorder="1" applyProtection="1">
      <protection hidden="1"/>
    </xf>
    <xf numFmtId="0" fontId="71" fillId="4" borderId="7" xfId="0" applyFont="1" applyFill="1" applyBorder="1" applyAlignment="1" applyProtection="1">
      <alignment horizontal="center" vertical="center"/>
      <protection hidden="1"/>
    </xf>
    <xf numFmtId="0" fontId="42" fillId="0" borderId="0" xfId="0" applyNumberFormat="1" applyFont="1" applyFill="1" applyBorder="1" applyAlignment="1" applyProtection="1">
      <alignment horizontal="center" vertical="center" wrapText="1"/>
      <protection hidden="1"/>
    </xf>
    <xf numFmtId="0" fontId="37" fillId="0" borderId="0" xfId="0" applyFont="1" applyBorder="1" applyProtection="1"/>
    <xf numFmtId="0" fontId="42" fillId="2" borderId="0" xfId="0" applyFont="1" applyFill="1" applyBorder="1" applyAlignment="1">
      <alignment horizontal="justify" vertical="center" wrapText="1"/>
    </xf>
    <xf numFmtId="0" fontId="42" fillId="2" borderId="0" xfId="0" applyFont="1" applyFill="1" applyBorder="1" applyAlignment="1">
      <alignment horizontal="center" vertical="center" wrapText="1"/>
    </xf>
    <xf numFmtId="0" fontId="78" fillId="2" borderId="0" xfId="0" applyFont="1" applyFill="1" applyBorder="1" applyAlignment="1">
      <alignment horizontal="justify" vertical="center" wrapText="1"/>
    </xf>
    <xf numFmtId="0" fontId="36" fillId="12" borderId="0" xfId="0" applyFont="1" applyFill="1" applyBorder="1" applyAlignment="1">
      <alignment horizontal="left" vertical="center"/>
    </xf>
    <xf numFmtId="0" fontId="36" fillId="12" borderId="0" xfId="0" applyFont="1" applyFill="1" applyBorder="1" applyAlignment="1">
      <alignment horizontal="left" vertical="center" wrapText="1"/>
    </xf>
    <xf numFmtId="0" fontId="36" fillId="10" borderId="0" xfId="0" applyFont="1" applyFill="1" applyBorder="1" applyAlignment="1">
      <alignment horizontal="left" vertical="center" wrapText="1"/>
    </xf>
    <xf numFmtId="0" fontId="36" fillId="10" borderId="0" xfId="0" applyFont="1" applyFill="1" applyBorder="1" applyAlignment="1">
      <alignment horizontal="justify" vertical="center" wrapText="1"/>
    </xf>
    <xf numFmtId="0" fontId="36" fillId="10" borderId="0" xfId="0" applyFont="1" applyFill="1" applyBorder="1" applyAlignment="1">
      <alignment horizontal="center" vertical="center" wrapText="1"/>
    </xf>
    <xf numFmtId="0" fontId="36" fillId="3" borderId="0" xfId="0" applyFont="1" applyFill="1" applyBorder="1" applyAlignment="1">
      <alignment horizontal="left" vertical="center" wrapText="1"/>
    </xf>
    <xf numFmtId="0" fontId="36" fillId="3" borderId="0" xfId="0" applyFont="1" applyFill="1" applyBorder="1" applyAlignment="1">
      <alignment horizontal="center" vertical="center" wrapText="1"/>
    </xf>
    <xf numFmtId="0" fontId="36" fillId="0" borderId="0" xfId="0" applyFont="1" applyBorder="1" applyAlignment="1">
      <alignment horizontal="left" vertical="center" wrapText="1"/>
    </xf>
    <xf numFmtId="0" fontId="36" fillId="45" borderId="0" xfId="0" applyFont="1" applyFill="1" applyBorder="1" applyAlignment="1">
      <alignment horizontal="justify" vertical="center" wrapText="1"/>
    </xf>
    <xf numFmtId="0" fontId="36" fillId="0" borderId="0" xfId="0" applyFont="1" applyBorder="1" applyAlignment="1">
      <alignment horizontal="justify" vertical="center" wrapText="1"/>
    </xf>
    <xf numFmtId="0" fontId="36" fillId="0" borderId="0" xfId="0" applyFont="1" applyFill="1" applyBorder="1" applyAlignment="1">
      <alignment horizontal="justify" vertical="center" wrapText="1"/>
    </xf>
    <xf numFmtId="0" fontId="42" fillId="2" borderId="0" xfId="0" applyFont="1" applyFill="1" applyBorder="1" applyAlignment="1">
      <alignment horizontal="left" vertical="center" wrapText="1"/>
    </xf>
    <xf numFmtId="9" fontId="36" fillId="3" borderId="0" xfId="0" applyNumberFormat="1" applyFont="1" applyFill="1" applyBorder="1" applyAlignment="1">
      <alignment horizontal="center" vertical="center" wrapText="1"/>
    </xf>
    <xf numFmtId="9" fontId="37" fillId="0" borderId="0" xfId="2" applyNumberFormat="1" applyFont="1" applyBorder="1" applyAlignment="1">
      <alignment horizontal="center" vertical="center"/>
    </xf>
    <xf numFmtId="0" fontId="36" fillId="3" borderId="0" xfId="0" applyFont="1" applyFill="1" applyBorder="1" applyAlignment="1">
      <alignment horizontal="justify" vertical="center" wrapText="1"/>
    </xf>
    <xf numFmtId="9" fontId="36" fillId="3" borderId="0" xfId="2" applyNumberFormat="1" applyFont="1" applyFill="1" applyBorder="1" applyAlignment="1">
      <alignment horizontal="center" vertical="center" wrapText="1"/>
    </xf>
    <xf numFmtId="0" fontId="37" fillId="0" borderId="0" xfId="0" applyFont="1" applyFill="1" applyBorder="1" applyAlignment="1">
      <alignment vertical="center"/>
    </xf>
    <xf numFmtId="3" fontId="36" fillId="3" borderId="0" xfId="0" applyNumberFormat="1" applyFont="1" applyFill="1" applyBorder="1" applyAlignment="1">
      <alignment horizontal="center" vertical="center" wrapText="1"/>
    </xf>
    <xf numFmtId="3" fontId="36" fillId="0" borderId="0" xfId="0" applyNumberFormat="1" applyFont="1" applyFill="1" applyBorder="1" applyAlignment="1">
      <alignment horizontal="center" vertical="center" wrapText="1"/>
    </xf>
    <xf numFmtId="0" fontId="36" fillId="0" borderId="0" xfId="0" applyFont="1" applyFill="1" applyBorder="1" applyAlignment="1">
      <alignment horizontal="left" vertical="center" wrapText="1"/>
    </xf>
    <xf numFmtId="3" fontId="36" fillId="0" borderId="0" xfId="0" applyNumberFormat="1" applyFont="1" applyBorder="1" applyAlignment="1">
      <alignment horizontal="center" vertical="center" wrapText="1"/>
    </xf>
    <xf numFmtId="170" fontId="36" fillId="0" borderId="0" xfId="0" applyNumberFormat="1" applyFont="1" applyBorder="1" applyAlignment="1">
      <alignment horizontal="center" vertical="center" wrapText="1"/>
    </xf>
    <xf numFmtId="3" fontId="42" fillId="2" borderId="0" xfId="0" applyNumberFormat="1" applyFont="1" applyFill="1" applyBorder="1" applyAlignment="1">
      <alignment horizontal="center" vertical="center" wrapText="1"/>
    </xf>
    <xf numFmtId="0" fontId="79" fillId="4" borderId="0" xfId="0" applyFont="1" applyFill="1" applyBorder="1" applyAlignment="1">
      <alignment horizontal="justify" vertical="center" wrapText="1"/>
    </xf>
    <xf numFmtId="0" fontId="80" fillId="4" borderId="0" xfId="0" applyFont="1" applyFill="1" applyBorder="1" applyAlignment="1">
      <alignment horizontal="center" vertical="center" wrapText="1"/>
    </xf>
    <xf numFmtId="0" fontId="36" fillId="46" borderId="0" xfId="0" applyFont="1" applyFill="1" applyBorder="1" applyAlignment="1">
      <alignment horizontal="justify" vertical="center" wrapText="1"/>
    </xf>
    <xf numFmtId="0" fontId="80" fillId="46" borderId="0" xfId="0" applyFont="1" applyFill="1" applyBorder="1" applyAlignment="1">
      <alignment horizontal="center" vertical="center" wrapText="1"/>
    </xf>
    <xf numFmtId="0" fontId="36" fillId="0" borderId="0" xfId="0" applyFont="1" applyBorder="1" applyAlignment="1">
      <alignment horizontal="center" vertical="center" wrapText="1"/>
    </xf>
    <xf numFmtId="0" fontId="81" fillId="0" borderId="0" xfId="0" applyFont="1" applyBorder="1" applyAlignment="1">
      <alignment horizontal="center" vertical="center"/>
    </xf>
    <xf numFmtId="165" fontId="36" fillId="0" borderId="0" xfId="0" applyNumberFormat="1" applyFont="1" applyBorder="1" applyAlignment="1">
      <alignment horizontal="center" vertical="center" wrapText="1"/>
    </xf>
    <xf numFmtId="5" fontId="36" fillId="0" borderId="0" xfId="0" applyNumberFormat="1" applyFont="1" applyBorder="1" applyAlignment="1">
      <alignment horizontal="center" vertical="center" wrapText="1"/>
    </xf>
    <xf numFmtId="165" fontId="36" fillId="0" borderId="1" xfId="0" applyNumberFormat="1" applyFont="1" applyBorder="1" applyAlignment="1">
      <alignment horizontal="center" vertical="center" wrapText="1"/>
    </xf>
    <xf numFmtId="37" fontId="36" fillId="0" borderId="0" xfId="1" applyNumberFormat="1" applyFont="1" applyBorder="1" applyAlignment="1">
      <alignment horizontal="center" vertical="center" wrapText="1"/>
    </xf>
    <xf numFmtId="37" fontId="36" fillId="0" borderId="1" xfId="1" applyNumberFormat="1" applyFont="1" applyBorder="1" applyAlignment="1">
      <alignment horizontal="center" vertical="center" wrapText="1"/>
    </xf>
    <xf numFmtId="9" fontId="36" fillId="0" borderId="0" xfId="0" applyNumberFormat="1" applyFont="1" applyBorder="1" applyAlignment="1">
      <alignment horizontal="center" vertical="center" wrapText="1"/>
    </xf>
    <xf numFmtId="0" fontId="43" fillId="0" borderId="0" xfId="0" applyFont="1" applyAlignment="1" applyProtection="1">
      <alignment horizontal="center"/>
      <protection locked="0" hidden="1"/>
    </xf>
    <xf numFmtId="0" fontId="43" fillId="0" borderId="0" xfId="0" applyFont="1" applyFill="1" applyBorder="1" applyAlignment="1" applyProtection="1">
      <alignment horizontal="center"/>
      <protection locked="0" hidden="1"/>
    </xf>
    <xf numFmtId="0" fontId="47" fillId="0" borderId="0" xfId="0" applyFont="1" applyFill="1" applyBorder="1" applyAlignment="1" applyProtection="1">
      <alignment horizontal="center"/>
      <protection locked="0" hidden="1"/>
    </xf>
    <xf numFmtId="5" fontId="48" fillId="0" borderId="0" xfId="0" applyNumberFormat="1" applyFont="1" applyFill="1" applyBorder="1" applyAlignment="1" applyProtection="1">
      <alignment horizontal="center"/>
      <protection locked="0" hidden="1"/>
    </xf>
    <xf numFmtId="5" fontId="66" fillId="0" borderId="0" xfId="0" applyNumberFormat="1" applyFont="1" applyAlignment="1" applyProtection="1">
      <alignment horizontal="center"/>
      <protection hidden="1"/>
    </xf>
    <xf numFmtId="0" fontId="36" fillId="12" borderId="0" xfId="0" applyFont="1" applyFill="1" applyBorder="1" applyAlignment="1">
      <alignment horizontal="center" vertical="center" wrapText="1"/>
    </xf>
    <xf numFmtId="0" fontId="36" fillId="45" borderId="0"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79" fillId="4" borderId="0" xfId="0" applyFont="1" applyFill="1" applyBorder="1" applyAlignment="1">
      <alignment horizontal="center" vertical="center" wrapText="1"/>
    </xf>
    <xf numFmtId="0" fontId="36" fillId="46" borderId="0" xfId="0" applyFont="1" applyFill="1" applyBorder="1" applyAlignment="1">
      <alignment horizontal="center" vertical="center" wrapText="1"/>
    </xf>
    <xf numFmtId="9" fontId="36" fillId="0" borderId="0" xfId="2" applyFont="1" applyBorder="1" applyAlignment="1">
      <alignment horizontal="center" vertical="center" wrapText="1"/>
    </xf>
    <xf numFmtId="164" fontId="36" fillId="0" borderId="0" xfId="2" applyNumberFormat="1" applyFont="1" applyBorder="1" applyAlignment="1">
      <alignment horizontal="center" vertical="center" wrapText="1"/>
    </xf>
    <xf numFmtId="164" fontId="36" fillId="10" borderId="0" xfId="2" applyNumberFormat="1" applyFont="1" applyFill="1" applyBorder="1" applyAlignment="1">
      <alignment horizontal="center" vertical="center" wrapText="1"/>
    </xf>
    <xf numFmtId="9" fontId="36" fillId="12" borderId="0" xfId="2" applyFont="1" applyFill="1" applyBorder="1" applyAlignment="1">
      <alignment horizontal="center" vertical="center" wrapText="1"/>
    </xf>
    <xf numFmtId="9" fontId="36" fillId="3" borderId="0" xfId="2" applyFont="1" applyFill="1" applyBorder="1" applyAlignment="1">
      <alignment horizontal="center" vertical="center" wrapText="1"/>
    </xf>
    <xf numFmtId="9" fontId="37" fillId="0" borderId="0" xfId="2" applyFont="1" applyFill="1" applyBorder="1" applyAlignment="1">
      <alignment horizontal="center" vertical="center"/>
    </xf>
    <xf numFmtId="9" fontId="36" fillId="0" borderId="0" xfId="2" applyFont="1" applyFill="1" applyBorder="1" applyAlignment="1">
      <alignment horizontal="center" vertical="center" wrapText="1"/>
    </xf>
    <xf numFmtId="171" fontId="36" fillId="0" borderId="1" xfId="1" applyNumberFormat="1" applyFont="1" applyBorder="1" applyAlignment="1">
      <alignment horizontal="center" vertical="center" wrapText="1"/>
    </xf>
    <xf numFmtId="9" fontId="36" fillId="0" borderId="30" xfId="2" applyNumberFormat="1" applyFont="1" applyBorder="1" applyAlignment="1" applyProtection="1">
      <alignment horizontal="center" vertical="center"/>
      <protection hidden="1"/>
    </xf>
    <xf numFmtId="164" fontId="69" fillId="0" borderId="0" xfId="2" applyNumberFormat="1" applyFont="1" applyFill="1" applyAlignment="1" applyProtection="1">
      <alignment horizontal="center"/>
      <protection hidden="1"/>
    </xf>
    <xf numFmtId="9" fontId="69" fillId="10" borderId="14" xfId="2" applyNumberFormat="1" applyFont="1" applyFill="1" applyBorder="1" applyAlignment="1" applyProtection="1">
      <alignment horizontal="center"/>
      <protection hidden="1"/>
    </xf>
    <xf numFmtId="5" fontId="66" fillId="0" borderId="0" xfId="0" applyNumberFormat="1" applyFont="1" applyBorder="1" applyProtection="1">
      <protection hidden="1"/>
    </xf>
    <xf numFmtId="7" fontId="66" fillId="0" borderId="0" xfId="0" applyNumberFormat="1" applyFont="1" applyBorder="1" applyProtection="1">
      <protection hidden="1"/>
    </xf>
    <xf numFmtId="8" fontId="66" fillId="0" borderId="0" xfId="0" applyNumberFormat="1" applyFont="1" applyBorder="1" applyProtection="1">
      <protection hidden="1"/>
    </xf>
    <xf numFmtId="4" fontId="66" fillId="0" borderId="0" xfId="0" applyNumberFormat="1" applyFont="1" applyBorder="1" applyProtection="1">
      <protection hidden="1"/>
    </xf>
    <xf numFmtId="6" fontId="66" fillId="0" borderId="0" xfId="0" applyNumberFormat="1" applyFont="1" applyBorder="1" applyProtection="1">
      <protection hidden="1"/>
    </xf>
    <xf numFmtId="6" fontId="66" fillId="0" borderId="0" xfId="0" applyNumberFormat="1" applyFont="1" applyBorder="1" applyAlignment="1" applyProtection="1">
      <alignment horizontal="center"/>
      <protection hidden="1"/>
    </xf>
    <xf numFmtId="4" fontId="66" fillId="0" borderId="0" xfId="0" applyNumberFormat="1" applyFont="1" applyBorder="1" applyAlignment="1" applyProtection="1">
      <alignment horizontal="left"/>
      <protection hidden="1"/>
    </xf>
    <xf numFmtId="0" fontId="66" fillId="47" borderId="0" xfId="0" applyFont="1" applyFill="1" applyBorder="1" applyAlignment="1" applyProtection="1">
      <alignment horizontal="center"/>
      <protection hidden="1"/>
    </xf>
    <xf numFmtId="4" fontId="66" fillId="48" borderId="0" xfId="0" applyNumberFormat="1" applyFont="1" applyFill="1" applyBorder="1" applyAlignment="1" applyProtection="1">
      <alignment horizontal="center"/>
      <protection hidden="1"/>
    </xf>
    <xf numFmtId="4" fontId="66" fillId="14" borderId="0" xfId="0" applyNumberFormat="1" applyFont="1" applyFill="1" applyBorder="1" applyAlignment="1" applyProtection="1">
      <alignment horizontal="center"/>
      <protection hidden="1"/>
    </xf>
    <xf numFmtId="10" fontId="42" fillId="2" borderId="0" xfId="2" applyNumberFormat="1" applyFont="1" applyFill="1" applyBorder="1" applyAlignment="1">
      <alignment horizontal="center" vertical="center" wrapText="1"/>
    </xf>
    <xf numFmtId="165" fontId="43" fillId="0" borderId="0" xfId="0" applyNumberFormat="1" applyFont="1" applyAlignment="1" applyProtection="1">
      <alignment horizontal="center"/>
      <protection locked="0" hidden="1"/>
    </xf>
    <xf numFmtId="5" fontId="37" fillId="0" borderId="18" xfId="0" applyNumberFormat="1" applyFont="1" applyBorder="1" applyAlignment="1" applyProtection="1">
      <alignment horizontal="center"/>
    </xf>
    <xf numFmtId="164" fontId="66" fillId="0" borderId="0" xfId="2" applyNumberFormat="1" applyFont="1" applyBorder="1" applyProtection="1">
      <protection hidden="1"/>
    </xf>
    <xf numFmtId="0" fontId="71" fillId="4" borderId="0" xfId="0" applyFont="1" applyFill="1" applyBorder="1" applyAlignment="1">
      <alignment vertical="center" wrapText="1"/>
    </xf>
    <xf numFmtId="0" fontId="82" fillId="4" borderId="0" xfId="0" applyFont="1" applyFill="1" applyBorder="1" applyAlignment="1">
      <alignment vertical="center" wrapText="1"/>
    </xf>
    <xf numFmtId="0" fontId="67" fillId="8" borderId="0" xfId="0" applyFont="1" applyFill="1" applyAlignment="1" applyProtection="1">
      <alignment horizontal="left" wrapText="1"/>
      <protection hidden="1"/>
    </xf>
    <xf numFmtId="164" fontId="37" fillId="0" borderId="0" xfId="2" applyNumberFormat="1" applyFont="1" applyAlignment="1">
      <alignment horizontal="center"/>
    </xf>
    <xf numFmtId="0" fontId="67" fillId="8" borderId="56" xfId="0" applyFont="1" applyFill="1" applyBorder="1" applyAlignment="1">
      <alignment horizontal="center" wrapText="1"/>
    </xf>
    <xf numFmtId="0" fontId="66" fillId="0" borderId="1" xfId="0" applyFont="1" applyBorder="1" applyAlignment="1">
      <alignment horizontal="left"/>
    </xf>
    <xf numFmtId="0" fontId="66" fillId="0" borderId="3" xfId="0" applyFont="1" applyBorder="1" applyAlignment="1">
      <alignment horizontal="left"/>
    </xf>
    <xf numFmtId="164" fontId="36" fillId="0" borderId="30" xfId="2" applyNumberFormat="1" applyFont="1" applyFill="1" applyBorder="1" applyAlignment="1" applyProtection="1">
      <alignment horizontal="center" vertical="center"/>
      <protection locked="0" hidden="1"/>
    </xf>
    <xf numFmtId="0" fontId="3" fillId="0" borderId="0" xfId="0" applyFont="1" applyAlignment="1" applyProtection="1">
      <alignment horizontal="left"/>
      <protection hidden="1"/>
    </xf>
    <xf numFmtId="0" fontId="19" fillId="0" borderId="0" xfId="0" applyFont="1" applyAlignment="1">
      <alignment horizontal="left" vertical="center" wrapText="1"/>
    </xf>
    <xf numFmtId="0" fontId="64" fillId="12" borderId="0" xfId="0" applyFont="1" applyFill="1" applyAlignment="1" applyProtection="1">
      <alignment horizontal="center"/>
      <protection hidden="1"/>
    </xf>
    <xf numFmtId="0" fontId="71" fillId="4" borderId="1" xfId="0" applyFont="1" applyFill="1" applyBorder="1" applyAlignment="1" applyProtection="1">
      <alignment horizontal="center" vertical="center" wrapText="1"/>
      <protection hidden="1"/>
    </xf>
    <xf numFmtId="0" fontId="71" fillId="4" borderId="37" xfId="0" applyFont="1" applyFill="1" applyBorder="1" applyAlignment="1" applyProtection="1">
      <alignment horizontal="center" vertical="center"/>
      <protection hidden="1"/>
    </xf>
    <xf numFmtId="0" fontId="71" fillId="4" borderId="33" xfId="0" applyFont="1" applyFill="1" applyBorder="1" applyAlignment="1" applyProtection="1">
      <alignment horizontal="center" vertical="center"/>
      <protection hidden="1"/>
    </xf>
    <xf numFmtId="165" fontId="66" fillId="10" borderId="54" xfId="0" applyNumberFormat="1" applyFont="1" applyFill="1" applyBorder="1" applyAlignment="1">
      <alignment horizontal="center" vertical="center"/>
    </xf>
    <xf numFmtId="0" fontId="58" fillId="0" borderId="0" xfId="0" applyFont="1"/>
    <xf numFmtId="0" fontId="73" fillId="2" borderId="0" xfId="0" applyFont="1" applyFill="1" applyBorder="1" applyAlignment="1">
      <alignment horizontal="justify" vertical="center" wrapText="1"/>
    </xf>
    <xf numFmtId="0" fontId="73" fillId="2" borderId="0" xfId="0" applyFont="1" applyFill="1" applyBorder="1" applyAlignment="1">
      <alignment horizontal="center" vertical="center" wrapText="1"/>
    </xf>
    <xf numFmtId="0" fontId="58" fillId="2" borderId="0" xfId="0" applyFont="1" applyFill="1" applyBorder="1" applyAlignment="1">
      <alignment horizontal="justify" vertical="center" wrapText="1"/>
    </xf>
    <xf numFmtId="164" fontId="58" fillId="2" borderId="0" xfId="0" applyNumberFormat="1" applyFont="1" applyFill="1" applyBorder="1" applyAlignment="1">
      <alignment horizontal="center" vertical="center" wrapText="1"/>
    </xf>
    <xf numFmtId="0" fontId="58" fillId="12" borderId="0" xfId="0" applyFont="1" applyFill="1" applyBorder="1" applyAlignment="1">
      <alignment horizontal="left" vertical="center"/>
    </xf>
    <xf numFmtId="0" fontId="58" fillId="12" borderId="0" xfId="0" applyFont="1" applyFill="1" applyBorder="1" applyAlignment="1">
      <alignment horizontal="left" vertical="center" wrapText="1"/>
    </xf>
    <xf numFmtId="164" fontId="58" fillId="12" borderId="0" xfId="0" applyNumberFormat="1" applyFont="1" applyFill="1" applyBorder="1" applyAlignment="1">
      <alignment horizontal="center" vertical="center" wrapText="1"/>
    </xf>
    <xf numFmtId="0" fontId="58" fillId="10" borderId="0" xfId="0" applyFont="1" applyFill="1" applyBorder="1" applyAlignment="1">
      <alignment horizontal="left" vertical="center" wrapText="1"/>
    </xf>
    <xf numFmtId="0" fontId="58" fillId="10" borderId="0" xfId="0" applyFont="1" applyFill="1" applyBorder="1" applyAlignment="1">
      <alignment horizontal="justify" vertical="center" wrapText="1"/>
    </xf>
    <xf numFmtId="0" fontId="58" fillId="10" borderId="0" xfId="0" applyFont="1" applyFill="1" applyBorder="1" applyAlignment="1">
      <alignment horizontal="center" vertical="center" wrapText="1"/>
    </xf>
    <xf numFmtId="0" fontId="58" fillId="3" borderId="0" xfId="0" applyFont="1" applyFill="1" applyBorder="1" applyAlignment="1">
      <alignment horizontal="left" vertical="center" wrapText="1"/>
    </xf>
    <xf numFmtId="0" fontId="58" fillId="3" borderId="0" xfId="0" applyFont="1" applyFill="1" applyBorder="1" applyAlignment="1">
      <alignment horizontal="center" vertical="center" wrapText="1"/>
    </xf>
    <xf numFmtId="0" fontId="58" fillId="0" borderId="0" xfId="0" applyFont="1" applyBorder="1" applyAlignment="1">
      <alignment horizontal="left" vertical="center" wrapText="1"/>
    </xf>
    <xf numFmtId="164" fontId="58" fillId="10" borderId="0" xfId="0" applyNumberFormat="1" applyFont="1" applyFill="1" applyBorder="1" applyAlignment="1">
      <alignment horizontal="center" vertical="center" wrapText="1"/>
    </xf>
    <xf numFmtId="164" fontId="58" fillId="0" borderId="0" xfId="0" applyNumberFormat="1" applyFont="1" applyBorder="1" applyAlignment="1">
      <alignment horizontal="center" vertical="center" wrapText="1"/>
    </xf>
    <xf numFmtId="9" fontId="58" fillId="10" borderId="0" xfId="0" applyNumberFormat="1" applyFont="1" applyFill="1" applyBorder="1" applyAlignment="1">
      <alignment horizontal="center" vertical="center" wrapText="1"/>
    </xf>
    <xf numFmtId="0" fontId="58" fillId="45" borderId="0" xfId="0" applyFont="1" applyFill="1" applyBorder="1" applyAlignment="1">
      <alignment horizontal="justify" vertical="center" wrapText="1"/>
    </xf>
    <xf numFmtId="9" fontId="58" fillId="45" borderId="0" xfId="0" applyNumberFormat="1" applyFont="1" applyFill="1" applyBorder="1" applyAlignment="1">
      <alignment horizontal="center" vertical="center" wrapText="1"/>
    </xf>
    <xf numFmtId="0" fontId="58" fillId="0" borderId="0" xfId="0" applyFont="1" applyBorder="1" applyAlignment="1">
      <alignment horizontal="justify" vertical="center" wrapText="1"/>
    </xf>
    <xf numFmtId="0" fontId="58" fillId="0" borderId="0" xfId="0" applyFont="1" applyFill="1" applyBorder="1" applyAlignment="1">
      <alignment horizontal="justify" vertical="center" wrapText="1"/>
    </xf>
    <xf numFmtId="9" fontId="58" fillId="0" borderId="0" xfId="0" applyNumberFormat="1" applyFont="1" applyFill="1" applyBorder="1" applyAlignment="1">
      <alignment horizontal="center" vertical="center" wrapText="1"/>
    </xf>
    <xf numFmtId="0" fontId="73" fillId="2" borderId="0" xfId="0" applyFont="1" applyFill="1" applyBorder="1" applyAlignment="1">
      <alignment horizontal="left" vertical="center" wrapText="1"/>
    </xf>
    <xf numFmtId="9" fontId="73" fillId="2" borderId="0" xfId="0" applyNumberFormat="1" applyFont="1" applyFill="1" applyBorder="1" applyAlignment="1">
      <alignment horizontal="center" vertical="center" wrapText="1"/>
    </xf>
    <xf numFmtId="9" fontId="58" fillId="12" borderId="0" xfId="2" applyNumberFormat="1" applyFont="1" applyFill="1" applyBorder="1" applyAlignment="1">
      <alignment horizontal="center" vertical="center" wrapText="1"/>
    </xf>
    <xf numFmtId="9" fontId="58" fillId="3" borderId="0" xfId="0" applyNumberFormat="1" applyFont="1" applyFill="1" applyBorder="1" applyAlignment="1">
      <alignment horizontal="center" vertical="center" wrapText="1"/>
    </xf>
    <xf numFmtId="9" fontId="66" fillId="0" borderId="0" xfId="2" applyFont="1" applyBorder="1" applyAlignment="1">
      <alignment horizontal="center" vertical="center"/>
    </xf>
    <xf numFmtId="9" fontId="66" fillId="0" borderId="0" xfId="2" applyNumberFormat="1" applyFont="1" applyBorder="1" applyAlignment="1">
      <alignment horizontal="center" vertical="center"/>
    </xf>
    <xf numFmtId="0" fontId="58" fillId="3" borderId="0" xfId="0" applyFont="1" applyFill="1" applyBorder="1" applyAlignment="1">
      <alignment horizontal="justify" vertical="center" wrapText="1"/>
    </xf>
    <xf numFmtId="9" fontId="58" fillId="3" borderId="0" xfId="2" applyNumberFormat="1" applyFont="1" applyFill="1" applyBorder="1" applyAlignment="1">
      <alignment horizontal="center" vertical="center" wrapText="1"/>
    </xf>
    <xf numFmtId="0" fontId="66" fillId="0" borderId="0" xfId="0" applyFont="1" applyFill="1" applyBorder="1" applyAlignment="1">
      <alignment vertical="center"/>
    </xf>
    <xf numFmtId="37" fontId="58" fillId="3" borderId="0" xfId="1" applyNumberFormat="1" applyFont="1" applyFill="1" applyBorder="1" applyAlignment="1">
      <alignment horizontal="center" vertical="center" wrapText="1"/>
    </xf>
    <xf numFmtId="37" fontId="58" fillId="0" borderId="0" xfId="1" applyNumberFormat="1" applyFont="1" applyBorder="1" applyAlignment="1">
      <alignment horizontal="center" vertical="center" wrapText="1"/>
    </xf>
    <xf numFmtId="3" fontId="58" fillId="3" borderId="0" xfId="0" applyNumberFormat="1" applyFont="1" applyFill="1" applyBorder="1" applyAlignment="1">
      <alignment horizontal="center" vertical="center" wrapText="1"/>
    </xf>
    <xf numFmtId="3" fontId="58" fillId="0" borderId="0" xfId="0" applyNumberFormat="1" applyFont="1" applyFill="1" applyBorder="1" applyAlignment="1">
      <alignment horizontal="center" vertical="center" wrapText="1"/>
    </xf>
    <xf numFmtId="0" fontId="58" fillId="0" borderId="0" xfId="0" applyFont="1" applyFill="1" applyBorder="1" applyAlignment="1">
      <alignment horizontal="left" vertical="center" wrapText="1"/>
    </xf>
    <xf numFmtId="3" fontId="58" fillId="0" borderId="0" xfId="0" applyNumberFormat="1" applyFont="1" applyBorder="1" applyAlignment="1">
      <alignment horizontal="center" vertical="center" wrapText="1"/>
    </xf>
    <xf numFmtId="4" fontId="58" fillId="0" borderId="0" xfId="0" applyNumberFormat="1" applyFont="1" applyBorder="1" applyAlignment="1">
      <alignment horizontal="center" vertical="center" wrapText="1"/>
    </xf>
    <xf numFmtId="3" fontId="73" fillId="2" borderId="0" xfId="0" applyNumberFormat="1" applyFont="1" applyFill="1" applyBorder="1" applyAlignment="1">
      <alignment horizontal="center" vertical="center" wrapText="1"/>
    </xf>
    <xf numFmtId="9" fontId="58" fillId="0" borderId="0" xfId="0" applyNumberFormat="1" applyFont="1" applyBorder="1" applyAlignment="1">
      <alignment horizontal="center" vertical="center" wrapText="1"/>
    </xf>
    <xf numFmtId="0" fontId="82" fillId="4" borderId="0" xfId="0" applyFont="1" applyFill="1" applyBorder="1" applyAlignment="1">
      <alignment horizontal="justify" vertical="center" wrapText="1"/>
    </xf>
    <xf numFmtId="0" fontId="83" fillId="4" borderId="0" xfId="0" applyFont="1" applyFill="1" applyBorder="1" applyAlignment="1">
      <alignment horizontal="center" vertical="center" wrapText="1"/>
    </xf>
    <xf numFmtId="0" fontId="58" fillId="46" borderId="0" xfId="0" applyFont="1" applyFill="1" applyBorder="1" applyAlignment="1">
      <alignment horizontal="justify" vertical="center" wrapText="1"/>
    </xf>
    <xf numFmtId="0" fontId="83" fillId="46" borderId="0" xfId="0" applyFont="1" applyFill="1" applyBorder="1" applyAlignment="1">
      <alignment horizontal="center" vertical="center" wrapText="1"/>
    </xf>
    <xf numFmtId="0" fontId="58" fillId="48" borderId="0" xfId="0" applyFont="1" applyFill="1" applyBorder="1" applyAlignment="1">
      <alignment horizontal="center" vertical="center" wrapText="1"/>
    </xf>
    <xf numFmtId="0" fontId="84" fillId="48" borderId="0" xfId="0" applyFont="1" applyFill="1" applyBorder="1" applyAlignment="1">
      <alignment horizontal="center" vertical="center"/>
    </xf>
    <xf numFmtId="5" fontId="58" fillId="48" borderId="0" xfId="0" applyNumberFormat="1" applyFont="1" applyFill="1" applyBorder="1" applyAlignment="1">
      <alignment horizontal="center" vertical="center" wrapText="1"/>
    </xf>
    <xf numFmtId="165" fontId="58" fillId="48" borderId="0" xfId="0" applyNumberFormat="1" applyFont="1" applyFill="1" applyBorder="1" applyAlignment="1">
      <alignment horizontal="center" vertical="center" wrapText="1"/>
    </xf>
    <xf numFmtId="0" fontId="66" fillId="0" borderId="0" xfId="0" applyFont="1"/>
    <xf numFmtId="9" fontId="66" fillId="0" borderId="0" xfId="2" applyFont="1"/>
    <xf numFmtId="4" fontId="58" fillId="0" borderId="0" xfId="0" applyNumberFormat="1" applyFont="1"/>
    <xf numFmtId="6" fontId="58" fillId="0" borderId="0" xfId="0" applyNumberFormat="1" applyFont="1"/>
    <xf numFmtId="4" fontId="58" fillId="0" borderId="0" xfId="0" applyNumberFormat="1" applyFont="1" applyAlignment="1">
      <alignment horizontal="center"/>
    </xf>
    <xf numFmtId="4" fontId="58" fillId="47" borderId="0" xfId="0" applyNumberFormat="1" applyFont="1" applyFill="1" applyAlignment="1">
      <alignment horizontal="center"/>
    </xf>
    <xf numFmtId="8" fontId="58" fillId="47" borderId="0" xfId="0" applyNumberFormat="1" applyFont="1" applyFill="1" applyAlignment="1">
      <alignment horizontal="center"/>
    </xf>
    <xf numFmtId="0" fontId="71" fillId="4" borderId="7" xfId="0" applyFont="1" applyFill="1" applyBorder="1" applyAlignment="1">
      <alignment vertical="center"/>
    </xf>
    <xf numFmtId="0" fontId="71" fillId="4" borderId="8" xfId="0" applyFont="1" applyFill="1" applyBorder="1" applyAlignment="1">
      <alignment vertical="center"/>
    </xf>
    <xf numFmtId="0" fontId="71" fillId="4" borderId="9" xfId="0" applyFont="1" applyFill="1" applyBorder="1" applyAlignment="1">
      <alignment vertical="center"/>
    </xf>
    <xf numFmtId="0" fontId="58" fillId="0" borderId="7" xfId="0" applyFont="1" applyBorder="1" applyAlignment="1">
      <alignment vertical="center"/>
    </xf>
    <xf numFmtId="0" fontId="58" fillId="0" borderId="8" xfId="0" applyFont="1" applyBorder="1" applyAlignment="1">
      <alignment horizontal="right" vertical="center"/>
    </xf>
    <xf numFmtId="10" fontId="58" fillId="0" borderId="8" xfId="0" applyNumberFormat="1" applyFont="1" applyBorder="1" applyAlignment="1">
      <alignment horizontal="right" vertical="center"/>
    </xf>
    <xf numFmtId="10" fontId="58" fillId="0" borderId="9" xfId="0" applyNumberFormat="1" applyFont="1" applyBorder="1" applyAlignment="1">
      <alignment horizontal="right" vertical="center"/>
    </xf>
    <xf numFmtId="0" fontId="58" fillId="0" borderId="37" xfId="0" applyFont="1" applyBorder="1" applyAlignment="1">
      <alignment vertical="center"/>
    </xf>
    <xf numFmtId="0" fontId="58" fillId="0" borderId="55" xfId="0" applyFont="1" applyBorder="1" applyAlignment="1">
      <alignment horizontal="right" vertical="center"/>
    </xf>
    <xf numFmtId="10" fontId="58" fillId="0" borderId="55" xfId="0" applyNumberFormat="1" applyFont="1" applyBorder="1" applyAlignment="1">
      <alignment horizontal="right" vertical="center"/>
    </xf>
    <xf numFmtId="10" fontId="58" fillId="0" borderId="33" xfId="0" applyNumberFormat="1" applyFont="1" applyBorder="1" applyAlignment="1">
      <alignment horizontal="right" vertical="center"/>
    </xf>
  </cellXfs>
  <cellStyles count="2202">
    <cellStyle name="20% - Accent1" xfId="2173" builtinId="30" customBuiltin="1"/>
    <cellStyle name="20% - Accent2" xfId="2177" builtinId="34" customBuiltin="1"/>
    <cellStyle name="20% - Accent3" xfId="2181" builtinId="38" customBuiltin="1"/>
    <cellStyle name="20% - Accent4" xfId="2185" builtinId="42" customBuiltin="1"/>
    <cellStyle name="20% - Accent5" xfId="2189" builtinId="46" customBuiltin="1"/>
    <cellStyle name="20% - Accent6" xfId="2193" builtinId="50" customBuiltin="1"/>
    <cellStyle name="40% - Accent1" xfId="2174" builtinId="31" customBuiltin="1"/>
    <cellStyle name="40% - Accent2" xfId="2178" builtinId="35" customBuiltin="1"/>
    <cellStyle name="40% - Accent3" xfId="2182" builtinId="39" customBuiltin="1"/>
    <cellStyle name="40% - Accent4" xfId="2186" builtinId="43" customBuiltin="1"/>
    <cellStyle name="40% - Accent5" xfId="2190" builtinId="47" customBuiltin="1"/>
    <cellStyle name="40% - Accent6" xfId="2194" builtinId="51" customBuiltin="1"/>
    <cellStyle name="60% - Accent1" xfId="2175" builtinId="32" customBuiltin="1"/>
    <cellStyle name="60% - Accent2" xfId="2179" builtinId="36" customBuiltin="1"/>
    <cellStyle name="60% - Accent3" xfId="2183" builtinId="40" customBuiltin="1"/>
    <cellStyle name="60% - Accent4" xfId="2187" builtinId="44" customBuiltin="1"/>
    <cellStyle name="60% - Accent5" xfId="2191" builtinId="48" customBuiltin="1"/>
    <cellStyle name="60% - Accent6" xfId="2195" builtinId="52" customBuiltin="1"/>
    <cellStyle name="Accent1" xfId="2172" builtinId="29" customBuiltin="1"/>
    <cellStyle name="Accent2" xfId="2176" builtinId="33" customBuiltin="1"/>
    <cellStyle name="Accent3" xfId="2180" builtinId="37" customBuiltin="1"/>
    <cellStyle name="Accent4" xfId="2184" builtinId="41" customBuiltin="1"/>
    <cellStyle name="Accent5" xfId="2188" builtinId="45" customBuiltin="1"/>
    <cellStyle name="Accent6" xfId="2192" builtinId="49" customBuiltin="1"/>
    <cellStyle name="Bad" xfId="2164" builtinId="27" customBuiltin="1"/>
    <cellStyle name="Calculation" xfId="161" builtinId="22"/>
    <cellStyle name="Calculation 2" xfId="2198"/>
    <cellStyle name="Check Cell" xfId="2168" builtinId="23" customBuiltin="1"/>
    <cellStyle name="Comma" xfId="1" builtinId="3"/>
    <cellStyle name="Comma 2" xfId="2200"/>
    <cellStyle name="Currency" xfId="3" builtinId="4"/>
    <cellStyle name="Explanatory Text" xfId="2170" builtinId="53" customBuilti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7" builtinId="9" hidden="1"/>
    <cellStyle name="Followed Hyperlink" xfId="568"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6" builtinId="9" hidden="1"/>
    <cellStyle name="Followed Hyperlink" xfId="577"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3" builtinId="9" hidden="1"/>
    <cellStyle name="Followed Hyperlink" xfId="614"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2" builtinId="9" hidden="1"/>
    <cellStyle name="Followed Hyperlink" xfId="623" builtinId="9" hidden="1"/>
    <cellStyle name="Followed Hyperlink" xfId="624" builtinId="9" hidden="1"/>
    <cellStyle name="Followed Hyperlink" xfId="625" builtinId="9" hidden="1"/>
    <cellStyle name="Followed Hyperlink" xfId="626" builtinId="9" hidden="1"/>
    <cellStyle name="Followed Hyperlink" xfId="627" builtinId="9" hidden="1"/>
    <cellStyle name="Followed Hyperlink" xfId="628" builtinId="9" hidden="1"/>
    <cellStyle name="Followed Hyperlink" xfId="629" builtinId="9" hidden="1"/>
    <cellStyle name="Followed Hyperlink" xfId="630" builtinId="9" hidden="1"/>
    <cellStyle name="Followed Hyperlink" xfId="631" builtinId="9" hidden="1"/>
    <cellStyle name="Followed Hyperlink" xfId="632" builtinId="9" hidden="1"/>
    <cellStyle name="Followed Hyperlink" xfId="633" builtinId="9" hidden="1"/>
    <cellStyle name="Followed Hyperlink" xfId="634" builtinId="9" hidden="1"/>
    <cellStyle name="Followed Hyperlink" xfId="635" builtinId="9" hidden="1"/>
    <cellStyle name="Followed Hyperlink" xfId="636" builtinId="9" hidden="1"/>
    <cellStyle name="Followed Hyperlink" xfId="637" builtinId="9" hidden="1"/>
    <cellStyle name="Followed Hyperlink" xfId="638" builtinId="9" hidden="1"/>
    <cellStyle name="Followed Hyperlink" xfId="639" builtinId="9" hidden="1"/>
    <cellStyle name="Followed Hyperlink" xfId="640" builtinId="9" hidden="1"/>
    <cellStyle name="Followed Hyperlink" xfId="641" builtinId="9" hidden="1"/>
    <cellStyle name="Followed Hyperlink" xfId="642" builtinId="9" hidden="1"/>
    <cellStyle name="Followed Hyperlink" xfId="643" builtinId="9" hidden="1"/>
    <cellStyle name="Followed Hyperlink" xfId="644" builtinId="9" hidden="1"/>
    <cellStyle name="Followed Hyperlink" xfId="645" builtinId="9" hidden="1"/>
    <cellStyle name="Followed Hyperlink" xfId="646" builtinId="9" hidden="1"/>
    <cellStyle name="Followed Hyperlink" xfId="647" builtinId="9" hidden="1"/>
    <cellStyle name="Followed Hyperlink" xfId="648" builtinId="9" hidden="1"/>
    <cellStyle name="Followed Hyperlink" xfId="649" builtinId="9" hidden="1"/>
    <cellStyle name="Followed Hyperlink" xfId="650" builtinId="9" hidden="1"/>
    <cellStyle name="Followed Hyperlink" xfId="651" builtinId="9" hidden="1"/>
    <cellStyle name="Followed Hyperlink" xfId="652" builtinId="9" hidden="1"/>
    <cellStyle name="Followed Hyperlink" xfId="653" builtinId="9" hidden="1"/>
    <cellStyle name="Followed Hyperlink" xfId="654" builtinId="9" hidden="1"/>
    <cellStyle name="Followed Hyperlink" xfId="655" builtinId="9" hidden="1"/>
    <cellStyle name="Followed Hyperlink" xfId="656" builtinId="9" hidden="1"/>
    <cellStyle name="Followed Hyperlink" xfId="657" builtinId="9" hidden="1"/>
    <cellStyle name="Followed Hyperlink" xfId="658" builtinId="9" hidden="1"/>
    <cellStyle name="Followed Hyperlink" xfId="659" builtinId="9" hidden="1"/>
    <cellStyle name="Followed Hyperlink" xfId="660" builtinId="9" hidden="1"/>
    <cellStyle name="Followed Hyperlink" xfId="661" builtinId="9" hidden="1"/>
    <cellStyle name="Followed Hyperlink" xfId="662" builtinId="9" hidden="1"/>
    <cellStyle name="Followed Hyperlink" xfId="663" builtinId="9" hidden="1"/>
    <cellStyle name="Followed Hyperlink" xfId="664" builtinId="9" hidden="1"/>
    <cellStyle name="Followed Hyperlink" xfId="665" builtinId="9" hidden="1"/>
    <cellStyle name="Followed Hyperlink" xfId="666" builtinId="9" hidden="1"/>
    <cellStyle name="Followed Hyperlink" xfId="667" builtinId="9" hidden="1"/>
    <cellStyle name="Followed Hyperlink" xfId="668" builtinId="9" hidden="1"/>
    <cellStyle name="Followed Hyperlink" xfId="669" builtinId="9" hidden="1"/>
    <cellStyle name="Followed Hyperlink" xfId="670" builtinId="9" hidden="1"/>
    <cellStyle name="Followed Hyperlink" xfId="671" builtinId="9" hidden="1"/>
    <cellStyle name="Followed Hyperlink" xfId="672" builtinId="9" hidden="1"/>
    <cellStyle name="Followed Hyperlink" xfId="673" builtinId="9" hidden="1"/>
    <cellStyle name="Followed Hyperlink" xfId="674" builtinId="9" hidden="1"/>
    <cellStyle name="Followed Hyperlink" xfId="675" builtinId="9" hidden="1"/>
    <cellStyle name="Followed Hyperlink" xfId="676" builtinId="9" hidden="1"/>
    <cellStyle name="Followed Hyperlink" xfId="677" builtinId="9" hidden="1"/>
    <cellStyle name="Followed Hyperlink" xfId="678" builtinId="9" hidden="1"/>
    <cellStyle name="Followed Hyperlink" xfId="679" builtinId="9" hidden="1"/>
    <cellStyle name="Followed Hyperlink" xfId="680" builtinId="9" hidden="1"/>
    <cellStyle name="Followed Hyperlink" xfId="681" builtinId="9" hidden="1"/>
    <cellStyle name="Followed Hyperlink" xfId="682" builtinId="9" hidden="1"/>
    <cellStyle name="Followed Hyperlink" xfId="683" builtinId="9" hidden="1"/>
    <cellStyle name="Followed Hyperlink" xfId="684" builtinId="9" hidden="1"/>
    <cellStyle name="Followed Hyperlink" xfId="685" builtinId="9" hidden="1"/>
    <cellStyle name="Followed Hyperlink" xfId="686" builtinId="9" hidden="1"/>
    <cellStyle name="Followed Hyperlink" xfId="687" builtinId="9" hidden="1"/>
    <cellStyle name="Followed Hyperlink" xfId="688" builtinId="9" hidden="1"/>
    <cellStyle name="Followed Hyperlink" xfId="689" builtinId="9" hidden="1"/>
    <cellStyle name="Followed Hyperlink" xfId="690" builtinId="9" hidden="1"/>
    <cellStyle name="Followed Hyperlink" xfId="691" builtinId="9" hidden="1"/>
    <cellStyle name="Followed Hyperlink" xfId="692" builtinId="9" hidden="1"/>
    <cellStyle name="Followed Hyperlink" xfId="693" builtinId="9" hidden="1"/>
    <cellStyle name="Followed Hyperlink" xfId="694" builtinId="9" hidden="1"/>
    <cellStyle name="Followed Hyperlink" xfId="695" builtinId="9" hidden="1"/>
    <cellStyle name="Followed Hyperlink" xfId="696" builtinId="9" hidden="1"/>
    <cellStyle name="Followed Hyperlink" xfId="697" builtinId="9" hidden="1"/>
    <cellStyle name="Followed Hyperlink" xfId="698" builtinId="9" hidden="1"/>
    <cellStyle name="Followed Hyperlink" xfId="699" builtinId="9" hidden="1"/>
    <cellStyle name="Followed Hyperlink" xfId="700" builtinId="9" hidden="1"/>
    <cellStyle name="Followed Hyperlink" xfId="701" builtinId="9" hidden="1"/>
    <cellStyle name="Followed Hyperlink" xfId="702" builtinId="9" hidden="1"/>
    <cellStyle name="Followed Hyperlink" xfId="703" builtinId="9" hidden="1"/>
    <cellStyle name="Followed Hyperlink" xfId="704" builtinId="9" hidden="1"/>
    <cellStyle name="Followed Hyperlink" xfId="705" builtinId="9" hidden="1"/>
    <cellStyle name="Followed Hyperlink" xfId="706" builtinId="9" hidden="1"/>
    <cellStyle name="Followed Hyperlink" xfId="707" builtinId="9" hidden="1"/>
    <cellStyle name="Followed Hyperlink" xfId="708" builtinId="9" hidden="1"/>
    <cellStyle name="Followed Hyperlink" xfId="709" builtinId="9" hidden="1"/>
    <cellStyle name="Followed Hyperlink" xfId="710" builtinId="9" hidden="1"/>
    <cellStyle name="Followed Hyperlink" xfId="711" builtinId="9" hidden="1"/>
    <cellStyle name="Followed Hyperlink" xfId="712" builtinId="9" hidden="1"/>
    <cellStyle name="Followed Hyperlink" xfId="713" builtinId="9" hidden="1"/>
    <cellStyle name="Followed Hyperlink" xfId="714" builtinId="9" hidden="1"/>
    <cellStyle name="Followed Hyperlink" xfId="715" builtinId="9" hidden="1"/>
    <cellStyle name="Followed Hyperlink" xfId="716" builtinId="9" hidden="1"/>
    <cellStyle name="Followed Hyperlink" xfId="717" builtinId="9" hidden="1"/>
    <cellStyle name="Followed Hyperlink" xfId="718" builtinId="9" hidden="1"/>
    <cellStyle name="Followed Hyperlink" xfId="719" builtinId="9" hidden="1"/>
    <cellStyle name="Followed Hyperlink" xfId="720" builtinId="9" hidden="1"/>
    <cellStyle name="Followed Hyperlink" xfId="721" builtinId="9" hidden="1"/>
    <cellStyle name="Followed Hyperlink" xfId="722" builtinId="9" hidden="1"/>
    <cellStyle name="Followed Hyperlink" xfId="723" builtinId="9" hidden="1"/>
    <cellStyle name="Followed Hyperlink" xfId="724" builtinId="9" hidden="1"/>
    <cellStyle name="Followed Hyperlink" xfId="725" builtinId="9" hidden="1"/>
    <cellStyle name="Followed Hyperlink" xfId="726" builtinId="9" hidden="1"/>
    <cellStyle name="Followed Hyperlink" xfId="727" builtinId="9" hidden="1"/>
    <cellStyle name="Followed Hyperlink" xfId="728" builtinId="9" hidden="1"/>
    <cellStyle name="Followed Hyperlink" xfId="729" builtinId="9" hidden="1"/>
    <cellStyle name="Followed Hyperlink" xfId="730" builtinId="9" hidden="1"/>
    <cellStyle name="Followed Hyperlink" xfId="731" builtinId="9" hidden="1"/>
    <cellStyle name="Followed Hyperlink" xfId="732" builtinId="9" hidden="1"/>
    <cellStyle name="Followed Hyperlink" xfId="733" builtinId="9" hidden="1"/>
    <cellStyle name="Followed Hyperlink" xfId="734" builtinId="9" hidden="1"/>
    <cellStyle name="Followed Hyperlink" xfId="735" builtinId="9" hidden="1"/>
    <cellStyle name="Followed Hyperlink" xfId="736" builtinId="9" hidden="1"/>
    <cellStyle name="Followed Hyperlink" xfId="737" builtinId="9" hidden="1"/>
    <cellStyle name="Followed Hyperlink" xfId="738" builtinId="9" hidden="1"/>
    <cellStyle name="Followed Hyperlink" xfId="739" builtinId="9" hidden="1"/>
    <cellStyle name="Followed Hyperlink" xfId="740" builtinId="9" hidden="1"/>
    <cellStyle name="Followed Hyperlink" xfId="741" builtinId="9" hidden="1"/>
    <cellStyle name="Followed Hyperlink" xfId="742" builtinId="9" hidden="1"/>
    <cellStyle name="Followed Hyperlink" xfId="743" builtinId="9" hidden="1"/>
    <cellStyle name="Followed Hyperlink" xfId="744" builtinId="9" hidden="1"/>
    <cellStyle name="Followed Hyperlink" xfId="745" builtinId="9" hidden="1"/>
    <cellStyle name="Followed Hyperlink" xfId="746" builtinId="9" hidden="1"/>
    <cellStyle name="Followed Hyperlink" xfId="747" builtinId="9" hidden="1"/>
    <cellStyle name="Followed Hyperlink" xfId="748" builtinId="9" hidden="1"/>
    <cellStyle name="Followed Hyperlink" xfId="749" builtinId="9" hidden="1"/>
    <cellStyle name="Followed Hyperlink" xfId="750" builtinId="9" hidden="1"/>
    <cellStyle name="Followed Hyperlink" xfId="751" builtinId="9" hidden="1"/>
    <cellStyle name="Followed Hyperlink" xfId="752" builtinId="9" hidden="1"/>
    <cellStyle name="Followed Hyperlink" xfId="753" builtinId="9" hidden="1"/>
    <cellStyle name="Followed Hyperlink" xfId="754" builtinId="9" hidden="1"/>
    <cellStyle name="Followed Hyperlink" xfId="755" builtinId="9" hidden="1"/>
    <cellStyle name="Followed Hyperlink" xfId="756" builtinId="9" hidden="1"/>
    <cellStyle name="Followed Hyperlink" xfId="757" builtinId="9" hidden="1"/>
    <cellStyle name="Followed Hyperlink" xfId="758" builtinId="9" hidden="1"/>
    <cellStyle name="Followed Hyperlink" xfId="759" builtinId="9" hidden="1"/>
    <cellStyle name="Followed Hyperlink" xfId="760" builtinId="9" hidden="1"/>
    <cellStyle name="Followed Hyperlink" xfId="761" builtinId="9" hidden="1"/>
    <cellStyle name="Followed Hyperlink" xfId="762" builtinId="9" hidden="1"/>
    <cellStyle name="Followed Hyperlink" xfId="763" builtinId="9" hidden="1"/>
    <cellStyle name="Followed Hyperlink" xfId="764" builtinId="9" hidden="1"/>
    <cellStyle name="Followed Hyperlink" xfId="765" builtinId="9" hidden="1"/>
    <cellStyle name="Followed Hyperlink" xfId="766" builtinId="9" hidden="1"/>
    <cellStyle name="Followed Hyperlink" xfId="767" builtinId="9" hidden="1"/>
    <cellStyle name="Followed Hyperlink" xfId="768" builtinId="9" hidden="1"/>
    <cellStyle name="Followed Hyperlink" xfId="769" builtinId="9" hidden="1"/>
    <cellStyle name="Followed Hyperlink" xfId="770" builtinId="9" hidden="1"/>
    <cellStyle name="Followed Hyperlink" xfId="771" builtinId="9" hidden="1"/>
    <cellStyle name="Followed Hyperlink" xfId="772" builtinId="9" hidden="1"/>
    <cellStyle name="Followed Hyperlink" xfId="773" builtinId="9" hidden="1"/>
    <cellStyle name="Followed Hyperlink" xfId="774" builtinId="9" hidden="1"/>
    <cellStyle name="Followed Hyperlink" xfId="775" builtinId="9" hidden="1"/>
    <cellStyle name="Followed Hyperlink" xfId="776" builtinId="9" hidden="1"/>
    <cellStyle name="Followed Hyperlink" xfId="777" builtinId="9" hidden="1"/>
    <cellStyle name="Followed Hyperlink" xfId="778" builtinId="9" hidden="1"/>
    <cellStyle name="Followed Hyperlink" xfId="779" builtinId="9" hidden="1"/>
    <cellStyle name="Followed Hyperlink" xfId="780" builtinId="9" hidden="1"/>
    <cellStyle name="Followed Hyperlink" xfId="781" builtinId="9" hidden="1"/>
    <cellStyle name="Followed Hyperlink" xfId="782" builtinId="9" hidden="1"/>
    <cellStyle name="Followed Hyperlink" xfId="783" builtinId="9" hidden="1"/>
    <cellStyle name="Followed Hyperlink" xfId="784" builtinId="9" hidden="1"/>
    <cellStyle name="Followed Hyperlink" xfId="785" builtinId="9" hidden="1"/>
    <cellStyle name="Followed Hyperlink" xfId="786" builtinId="9" hidden="1"/>
    <cellStyle name="Followed Hyperlink" xfId="787" builtinId="9" hidden="1"/>
    <cellStyle name="Followed Hyperlink" xfId="788" builtinId="9" hidden="1"/>
    <cellStyle name="Followed Hyperlink" xfId="789" builtinId="9" hidden="1"/>
    <cellStyle name="Followed Hyperlink" xfId="790" builtinId="9" hidden="1"/>
    <cellStyle name="Followed Hyperlink" xfId="791" builtinId="9" hidden="1"/>
    <cellStyle name="Followed Hyperlink" xfId="792" builtinId="9" hidden="1"/>
    <cellStyle name="Followed Hyperlink" xfId="793" builtinId="9" hidden="1"/>
    <cellStyle name="Followed Hyperlink" xfId="794" builtinId="9" hidden="1"/>
    <cellStyle name="Followed Hyperlink" xfId="795" builtinId="9" hidden="1"/>
    <cellStyle name="Followed Hyperlink" xfId="796" builtinId="9" hidden="1"/>
    <cellStyle name="Followed Hyperlink" xfId="797" builtinId="9" hidden="1"/>
    <cellStyle name="Followed Hyperlink" xfId="798" builtinId="9" hidden="1"/>
    <cellStyle name="Followed Hyperlink" xfId="799" builtinId="9" hidden="1"/>
    <cellStyle name="Followed Hyperlink" xfId="800" builtinId="9" hidden="1"/>
    <cellStyle name="Followed Hyperlink" xfId="801" builtinId="9" hidden="1"/>
    <cellStyle name="Followed Hyperlink" xfId="802" builtinId="9" hidden="1"/>
    <cellStyle name="Followed Hyperlink" xfId="803" builtinId="9" hidden="1"/>
    <cellStyle name="Followed Hyperlink" xfId="804" builtinId="9" hidden="1"/>
    <cellStyle name="Followed Hyperlink" xfId="805" builtinId="9" hidden="1"/>
    <cellStyle name="Followed Hyperlink" xfId="806" builtinId="9" hidden="1"/>
    <cellStyle name="Followed Hyperlink" xfId="807" builtinId="9" hidden="1"/>
    <cellStyle name="Followed Hyperlink" xfId="808" builtinId="9" hidden="1"/>
    <cellStyle name="Followed Hyperlink" xfId="809" builtinId="9" hidden="1"/>
    <cellStyle name="Followed Hyperlink" xfId="810" builtinId="9" hidden="1"/>
    <cellStyle name="Followed Hyperlink" xfId="811" builtinId="9" hidden="1"/>
    <cellStyle name="Followed Hyperlink" xfId="812" builtinId="9" hidden="1"/>
    <cellStyle name="Followed Hyperlink" xfId="813" builtinId="9" hidden="1"/>
    <cellStyle name="Followed Hyperlink" xfId="814" builtinId="9" hidden="1"/>
    <cellStyle name="Followed Hyperlink" xfId="815" builtinId="9" hidden="1"/>
    <cellStyle name="Followed Hyperlink" xfId="816" builtinId="9" hidden="1"/>
    <cellStyle name="Followed Hyperlink" xfId="817" builtinId="9" hidden="1"/>
    <cellStyle name="Followed Hyperlink" xfId="818" builtinId="9" hidden="1"/>
    <cellStyle name="Followed Hyperlink" xfId="819" builtinId="9" hidden="1"/>
    <cellStyle name="Followed Hyperlink" xfId="820" builtinId="9" hidden="1"/>
    <cellStyle name="Followed Hyperlink" xfId="821" builtinId="9" hidden="1"/>
    <cellStyle name="Followed Hyperlink" xfId="822" builtinId="9" hidden="1"/>
    <cellStyle name="Followed Hyperlink" xfId="823" builtinId="9" hidden="1"/>
    <cellStyle name="Followed Hyperlink" xfId="825" builtinId="9" hidden="1"/>
    <cellStyle name="Followed Hyperlink" xfId="826" builtinId="9" hidden="1"/>
    <cellStyle name="Followed Hyperlink" xfId="827" builtinId="9" hidden="1"/>
    <cellStyle name="Followed Hyperlink" xfId="828" builtinId="9" hidden="1"/>
    <cellStyle name="Followed Hyperlink" xfId="829" builtinId="9" hidden="1"/>
    <cellStyle name="Followed Hyperlink" xfId="830" builtinId="9" hidden="1"/>
    <cellStyle name="Followed Hyperlink" xfId="831" builtinId="9" hidden="1"/>
    <cellStyle name="Followed Hyperlink" xfId="832" builtinId="9" hidden="1"/>
    <cellStyle name="Followed Hyperlink" xfId="833" builtinId="9" hidden="1"/>
    <cellStyle name="Followed Hyperlink" xfId="834" builtinId="9" hidden="1"/>
    <cellStyle name="Followed Hyperlink" xfId="835" builtinId="9" hidden="1"/>
    <cellStyle name="Followed Hyperlink" xfId="836" builtinId="9" hidden="1"/>
    <cellStyle name="Followed Hyperlink" xfId="837" builtinId="9" hidden="1"/>
    <cellStyle name="Followed Hyperlink" xfId="838" builtinId="9" hidden="1"/>
    <cellStyle name="Followed Hyperlink" xfId="839" builtinId="9" hidden="1"/>
    <cellStyle name="Followed Hyperlink" xfId="840" builtinId="9" hidden="1"/>
    <cellStyle name="Followed Hyperlink" xfId="841" builtinId="9" hidden="1"/>
    <cellStyle name="Followed Hyperlink" xfId="842" builtinId="9" hidden="1"/>
    <cellStyle name="Followed Hyperlink" xfId="843" builtinId="9" hidden="1"/>
    <cellStyle name="Followed Hyperlink" xfId="844" builtinId="9" hidden="1"/>
    <cellStyle name="Followed Hyperlink" xfId="845" builtinId="9" hidden="1"/>
    <cellStyle name="Followed Hyperlink" xfId="846" builtinId="9" hidden="1"/>
    <cellStyle name="Followed Hyperlink" xfId="847" builtinId="9" hidden="1"/>
    <cellStyle name="Followed Hyperlink" xfId="848" builtinId="9" hidden="1"/>
    <cellStyle name="Followed Hyperlink" xfId="849" builtinId="9" hidden="1"/>
    <cellStyle name="Followed Hyperlink" xfId="850" builtinId="9" hidden="1"/>
    <cellStyle name="Followed Hyperlink" xfId="851" builtinId="9" hidden="1"/>
    <cellStyle name="Followed Hyperlink" xfId="852" builtinId="9" hidden="1"/>
    <cellStyle name="Followed Hyperlink" xfId="853" builtinId="9" hidden="1"/>
    <cellStyle name="Followed Hyperlink" xfId="854" builtinId="9" hidden="1"/>
    <cellStyle name="Followed Hyperlink" xfId="855" builtinId="9" hidden="1"/>
    <cellStyle name="Followed Hyperlink" xfId="856" builtinId="9" hidden="1"/>
    <cellStyle name="Followed Hyperlink" xfId="857" builtinId="9" hidden="1"/>
    <cellStyle name="Followed Hyperlink" xfId="858" builtinId="9" hidden="1"/>
    <cellStyle name="Followed Hyperlink" xfId="859" builtinId="9" hidden="1"/>
    <cellStyle name="Followed Hyperlink" xfId="860" builtinId="9" hidden="1"/>
    <cellStyle name="Followed Hyperlink" xfId="861" builtinId="9" hidden="1"/>
    <cellStyle name="Followed Hyperlink" xfId="862" builtinId="9" hidden="1"/>
    <cellStyle name="Followed Hyperlink" xfId="863" builtinId="9" hidden="1"/>
    <cellStyle name="Followed Hyperlink" xfId="864" builtinId="9" hidden="1"/>
    <cellStyle name="Followed Hyperlink" xfId="865" builtinId="9" hidden="1"/>
    <cellStyle name="Followed Hyperlink" xfId="866" builtinId="9" hidden="1"/>
    <cellStyle name="Followed Hyperlink" xfId="867" builtinId="9" hidden="1"/>
    <cellStyle name="Followed Hyperlink" xfId="868" builtinId="9" hidden="1"/>
    <cellStyle name="Followed Hyperlink" xfId="869" builtinId="9" hidden="1"/>
    <cellStyle name="Followed Hyperlink" xfId="870" builtinId="9" hidden="1"/>
    <cellStyle name="Followed Hyperlink" xfId="871" builtinId="9" hidden="1"/>
    <cellStyle name="Followed Hyperlink" xfId="872" builtinId="9" hidden="1"/>
    <cellStyle name="Followed Hyperlink" xfId="873" builtinId="9" hidden="1"/>
    <cellStyle name="Followed Hyperlink" xfId="874" builtinId="9" hidden="1"/>
    <cellStyle name="Followed Hyperlink" xfId="875" builtinId="9" hidden="1"/>
    <cellStyle name="Followed Hyperlink" xfId="876" builtinId="9" hidden="1"/>
    <cellStyle name="Followed Hyperlink" xfId="877" builtinId="9" hidden="1"/>
    <cellStyle name="Followed Hyperlink" xfId="878" builtinId="9" hidden="1"/>
    <cellStyle name="Followed Hyperlink" xfId="879" builtinId="9" hidden="1"/>
    <cellStyle name="Followed Hyperlink" xfId="880" builtinId="9" hidden="1"/>
    <cellStyle name="Followed Hyperlink" xfId="881" builtinId="9" hidden="1"/>
    <cellStyle name="Followed Hyperlink" xfId="882" builtinId="9" hidden="1"/>
    <cellStyle name="Followed Hyperlink" xfId="883" builtinId="9" hidden="1"/>
    <cellStyle name="Followed Hyperlink" xfId="884" builtinId="9" hidden="1"/>
    <cellStyle name="Followed Hyperlink" xfId="885" builtinId="9" hidden="1"/>
    <cellStyle name="Followed Hyperlink" xfId="886" builtinId="9" hidden="1"/>
    <cellStyle name="Followed Hyperlink" xfId="887" builtinId="9" hidden="1"/>
    <cellStyle name="Followed Hyperlink" xfId="888" builtinId="9" hidden="1"/>
    <cellStyle name="Followed Hyperlink" xfId="889" builtinId="9" hidden="1"/>
    <cellStyle name="Followed Hyperlink" xfId="890" builtinId="9" hidden="1"/>
    <cellStyle name="Followed Hyperlink" xfId="891" builtinId="9" hidden="1"/>
    <cellStyle name="Followed Hyperlink" xfId="892" builtinId="9" hidden="1"/>
    <cellStyle name="Followed Hyperlink" xfId="893" builtinId="9" hidden="1"/>
    <cellStyle name="Followed Hyperlink" xfId="894" builtinId="9" hidden="1"/>
    <cellStyle name="Followed Hyperlink" xfId="895" builtinId="9" hidden="1"/>
    <cellStyle name="Followed Hyperlink" xfId="896" builtinId="9" hidden="1"/>
    <cellStyle name="Followed Hyperlink" xfId="897" builtinId="9" hidden="1"/>
    <cellStyle name="Followed Hyperlink" xfId="898" builtinId="9" hidden="1"/>
    <cellStyle name="Followed Hyperlink" xfId="899" builtinId="9" hidden="1"/>
    <cellStyle name="Followed Hyperlink" xfId="900" builtinId="9" hidden="1"/>
    <cellStyle name="Followed Hyperlink" xfId="901" builtinId="9" hidden="1"/>
    <cellStyle name="Followed Hyperlink" xfId="902" builtinId="9" hidden="1"/>
    <cellStyle name="Followed Hyperlink" xfId="903" builtinId="9" hidden="1"/>
    <cellStyle name="Followed Hyperlink" xfId="904" builtinId="9" hidden="1"/>
    <cellStyle name="Followed Hyperlink" xfId="905" builtinId="9" hidden="1"/>
    <cellStyle name="Followed Hyperlink" xfId="906" builtinId="9" hidden="1"/>
    <cellStyle name="Followed Hyperlink" xfId="907" builtinId="9" hidden="1"/>
    <cellStyle name="Followed Hyperlink" xfId="908" builtinId="9" hidden="1"/>
    <cellStyle name="Followed Hyperlink" xfId="909" builtinId="9" hidden="1"/>
    <cellStyle name="Followed Hyperlink" xfId="910" builtinId="9" hidden="1"/>
    <cellStyle name="Followed Hyperlink" xfId="911" builtinId="9" hidden="1"/>
    <cellStyle name="Followed Hyperlink" xfId="912" builtinId="9" hidden="1"/>
    <cellStyle name="Followed Hyperlink" xfId="913" builtinId="9" hidden="1"/>
    <cellStyle name="Followed Hyperlink" xfId="914" builtinId="9" hidden="1"/>
    <cellStyle name="Followed Hyperlink" xfId="915" builtinId="9" hidden="1"/>
    <cellStyle name="Followed Hyperlink" xfId="916" builtinId="9" hidden="1"/>
    <cellStyle name="Followed Hyperlink" xfId="917" builtinId="9" hidden="1"/>
    <cellStyle name="Followed Hyperlink" xfId="918" builtinId="9" hidden="1"/>
    <cellStyle name="Followed Hyperlink" xfId="919" builtinId="9" hidden="1"/>
    <cellStyle name="Followed Hyperlink" xfId="920" builtinId="9" hidden="1"/>
    <cellStyle name="Followed Hyperlink" xfId="921" builtinId="9" hidden="1"/>
    <cellStyle name="Followed Hyperlink" xfId="922" builtinId="9" hidden="1"/>
    <cellStyle name="Followed Hyperlink" xfId="923" builtinId="9" hidden="1"/>
    <cellStyle name="Followed Hyperlink" xfId="924" builtinId="9" hidden="1"/>
    <cellStyle name="Followed Hyperlink" xfId="925" builtinId="9" hidden="1"/>
    <cellStyle name="Followed Hyperlink" xfId="926" builtinId="9" hidden="1"/>
    <cellStyle name="Followed Hyperlink" xfId="927" builtinId="9" hidden="1"/>
    <cellStyle name="Followed Hyperlink" xfId="928" builtinId="9" hidden="1"/>
    <cellStyle name="Followed Hyperlink" xfId="929" builtinId="9" hidden="1"/>
    <cellStyle name="Followed Hyperlink" xfId="930" builtinId="9" hidden="1"/>
    <cellStyle name="Followed Hyperlink" xfId="931" builtinId="9" hidden="1"/>
    <cellStyle name="Followed Hyperlink" xfId="932" builtinId="9" hidden="1"/>
    <cellStyle name="Followed Hyperlink" xfId="933" builtinId="9" hidden="1"/>
    <cellStyle name="Followed Hyperlink" xfId="934" builtinId="9" hidden="1"/>
    <cellStyle name="Followed Hyperlink" xfId="935" builtinId="9" hidden="1"/>
    <cellStyle name="Followed Hyperlink" xfId="936" builtinId="9" hidden="1"/>
    <cellStyle name="Followed Hyperlink" xfId="937" builtinId="9" hidden="1"/>
    <cellStyle name="Followed Hyperlink" xfId="938" builtinId="9" hidden="1"/>
    <cellStyle name="Followed Hyperlink" xfId="939" builtinId="9" hidden="1"/>
    <cellStyle name="Followed Hyperlink" xfId="940" builtinId="9" hidden="1"/>
    <cellStyle name="Followed Hyperlink" xfId="941" builtinId="9" hidden="1"/>
    <cellStyle name="Followed Hyperlink" xfId="942" builtinId="9" hidden="1"/>
    <cellStyle name="Followed Hyperlink" xfId="943" builtinId="9" hidden="1"/>
    <cellStyle name="Followed Hyperlink" xfId="944" builtinId="9" hidden="1"/>
    <cellStyle name="Followed Hyperlink" xfId="945" builtinId="9" hidden="1"/>
    <cellStyle name="Followed Hyperlink" xfId="946" builtinId="9" hidden="1"/>
    <cellStyle name="Followed Hyperlink" xfId="947" builtinId="9" hidden="1"/>
    <cellStyle name="Followed Hyperlink" xfId="948" builtinId="9" hidden="1"/>
    <cellStyle name="Followed Hyperlink" xfId="949" builtinId="9" hidden="1"/>
    <cellStyle name="Followed Hyperlink" xfId="950" builtinId="9" hidden="1"/>
    <cellStyle name="Followed Hyperlink" xfId="951" builtinId="9" hidden="1"/>
    <cellStyle name="Followed Hyperlink" xfId="952" builtinId="9" hidden="1"/>
    <cellStyle name="Followed Hyperlink" xfId="953" builtinId="9" hidden="1"/>
    <cellStyle name="Followed Hyperlink" xfId="954" builtinId="9" hidden="1"/>
    <cellStyle name="Followed Hyperlink" xfId="955" builtinId="9" hidden="1"/>
    <cellStyle name="Followed Hyperlink" xfId="956" builtinId="9" hidden="1"/>
    <cellStyle name="Followed Hyperlink" xfId="957" builtinId="9" hidden="1"/>
    <cellStyle name="Followed Hyperlink" xfId="958" builtinId="9" hidden="1"/>
    <cellStyle name="Followed Hyperlink" xfId="959" builtinId="9" hidden="1"/>
    <cellStyle name="Followed Hyperlink" xfId="960" builtinId="9" hidden="1"/>
    <cellStyle name="Followed Hyperlink" xfId="961" builtinId="9" hidden="1"/>
    <cellStyle name="Followed Hyperlink" xfId="962" builtinId="9" hidden="1"/>
    <cellStyle name="Followed Hyperlink" xfId="963" builtinId="9" hidden="1"/>
    <cellStyle name="Followed Hyperlink" xfId="964" builtinId="9" hidden="1"/>
    <cellStyle name="Followed Hyperlink" xfId="965" builtinId="9" hidden="1"/>
    <cellStyle name="Followed Hyperlink" xfId="966" builtinId="9" hidden="1"/>
    <cellStyle name="Followed Hyperlink" xfId="967" builtinId="9" hidden="1"/>
    <cellStyle name="Followed Hyperlink" xfId="968" builtinId="9" hidden="1"/>
    <cellStyle name="Followed Hyperlink" xfId="969" builtinId="9" hidden="1"/>
    <cellStyle name="Followed Hyperlink" xfId="970" builtinId="9" hidden="1"/>
    <cellStyle name="Followed Hyperlink" xfId="971" builtinId="9" hidden="1"/>
    <cellStyle name="Followed Hyperlink" xfId="972" builtinId="9" hidden="1"/>
    <cellStyle name="Followed Hyperlink" xfId="973" builtinId="9" hidden="1"/>
    <cellStyle name="Followed Hyperlink" xfId="974" builtinId="9" hidden="1"/>
    <cellStyle name="Followed Hyperlink" xfId="975" builtinId="9" hidden="1"/>
    <cellStyle name="Followed Hyperlink" xfId="976" builtinId="9" hidden="1"/>
    <cellStyle name="Followed Hyperlink" xfId="977" builtinId="9" hidden="1"/>
    <cellStyle name="Followed Hyperlink" xfId="978" builtinId="9" hidden="1"/>
    <cellStyle name="Followed Hyperlink" xfId="979" builtinId="9" hidden="1"/>
    <cellStyle name="Followed Hyperlink" xfId="980" builtinId="9" hidden="1"/>
    <cellStyle name="Followed Hyperlink" xfId="981" builtinId="9" hidden="1"/>
    <cellStyle name="Followed Hyperlink" xfId="982" builtinId="9" hidden="1"/>
    <cellStyle name="Followed Hyperlink" xfId="983" builtinId="9" hidden="1"/>
    <cellStyle name="Followed Hyperlink" xfId="984" builtinId="9" hidden="1"/>
    <cellStyle name="Followed Hyperlink" xfId="985" builtinId="9" hidden="1"/>
    <cellStyle name="Followed Hyperlink" xfId="986" builtinId="9" hidden="1"/>
    <cellStyle name="Followed Hyperlink" xfId="987" builtinId="9" hidden="1"/>
    <cellStyle name="Followed Hyperlink" xfId="988" builtinId="9" hidden="1"/>
    <cellStyle name="Followed Hyperlink" xfId="989" builtinId="9" hidden="1"/>
    <cellStyle name="Followed Hyperlink" xfId="990" builtinId="9" hidden="1"/>
    <cellStyle name="Followed Hyperlink" xfId="991" builtinId="9" hidden="1"/>
    <cellStyle name="Followed Hyperlink" xfId="992" builtinId="9" hidden="1"/>
    <cellStyle name="Followed Hyperlink" xfId="993" builtinId="9" hidden="1"/>
    <cellStyle name="Followed Hyperlink" xfId="994" builtinId="9" hidden="1"/>
    <cellStyle name="Followed Hyperlink" xfId="995" builtinId="9" hidden="1"/>
    <cellStyle name="Followed Hyperlink" xfId="996" builtinId="9" hidden="1"/>
    <cellStyle name="Followed Hyperlink" xfId="997" builtinId="9" hidden="1"/>
    <cellStyle name="Followed Hyperlink" xfId="998" builtinId="9" hidden="1"/>
    <cellStyle name="Followed Hyperlink" xfId="999" builtinId="9" hidden="1"/>
    <cellStyle name="Followed Hyperlink" xfId="1000" builtinId="9" hidden="1"/>
    <cellStyle name="Followed Hyperlink" xfId="1001" builtinId="9" hidden="1"/>
    <cellStyle name="Followed Hyperlink" xfId="1002" builtinId="9" hidden="1"/>
    <cellStyle name="Followed Hyperlink" xfId="1003" builtinId="9" hidden="1"/>
    <cellStyle name="Followed Hyperlink" xfId="1004" builtinId="9" hidden="1"/>
    <cellStyle name="Followed Hyperlink" xfId="1005" builtinId="9" hidden="1"/>
    <cellStyle name="Followed Hyperlink" xfId="1006" builtinId="9" hidden="1"/>
    <cellStyle name="Followed Hyperlink" xfId="1007" builtinId="9" hidden="1"/>
    <cellStyle name="Followed Hyperlink" xfId="1008" builtinId="9" hidden="1"/>
    <cellStyle name="Followed Hyperlink" xfId="1009" builtinId="9" hidden="1"/>
    <cellStyle name="Followed Hyperlink" xfId="1010" builtinId="9" hidden="1"/>
    <cellStyle name="Followed Hyperlink" xfId="1011" builtinId="9" hidden="1"/>
    <cellStyle name="Followed Hyperlink" xfId="1012" builtinId="9" hidden="1"/>
    <cellStyle name="Followed Hyperlink" xfId="1013" builtinId="9" hidden="1"/>
    <cellStyle name="Followed Hyperlink" xfId="1014" builtinId="9" hidden="1"/>
    <cellStyle name="Followed Hyperlink" xfId="1015" builtinId="9" hidden="1"/>
    <cellStyle name="Followed Hyperlink" xfId="1016" builtinId="9" hidden="1"/>
    <cellStyle name="Followed Hyperlink" xfId="1017" builtinId="9" hidden="1"/>
    <cellStyle name="Followed Hyperlink" xfId="1018" builtinId="9" hidden="1"/>
    <cellStyle name="Followed Hyperlink" xfId="1019" builtinId="9" hidden="1"/>
    <cellStyle name="Followed Hyperlink" xfId="1020" builtinId="9" hidden="1"/>
    <cellStyle name="Followed Hyperlink" xfId="1021" builtinId="9" hidden="1"/>
    <cellStyle name="Followed Hyperlink" xfId="1022" builtinId="9" hidden="1"/>
    <cellStyle name="Followed Hyperlink" xfId="1023" builtinId="9" hidden="1"/>
    <cellStyle name="Followed Hyperlink" xfId="1024" builtinId="9" hidden="1"/>
    <cellStyle name="Followed Hyperlink" xfId="1025" builtinId="9" hidden="1"/>
    <cellStyle name="Followed Hyperlink" xfId="1026" builtinId="9" hidden="1"/>
    <cellStyle name="Followed Hyperlink" xfId="1027" builtinId="9" hidden="1"/>
    <cellStyle name="Followed Hyperlink" xfId="1028" builtinId="9" hidden="1"/>
    <cellStyle name="Followed Hyperlink" xfId="1029" builtinId="9" hidden="1"/>
    <cellStyle name="Followed Hyperlink" xfId="1030" builtinId="9" hidden="1"/>
    <cellStyle name="Followed Hyperlink" xfId="1031" builtinId="9" hidden="1"/>
    <cellStyle name="Followed Hyperlink" xfId="1032" builtinId="9" hidden="1"/>
    <cellStyle name="Followed Hyperlink" xfId="1033" builtinId="9" hidden="1"/>
    <cellStyle name="Followed Hyperlink" xfId="1034" builtinId="9" hidden="1"/>
    <cellStyle name="Followed Hyperlink" xfId="1035" builtinId="9" hidden="1"/>
    <cellStyle name="Followed Hyperlink" xfId="1036" builtinId="9" hidden="1"/>
    <cellStyle name="Followed Hyperlink" xfId="1037" builtinId="9" hidden="1"/>
    <cellStyle name="Followed Hyperlink" xfId="1038" builtinId="9" hidden="1"/>
    <cellStyle name="Followed Hyperlink" xfId="1039" builtinId="9" hidden="1"/>
    <cellStyle name="Followed Hyperlink" xfId="1040" builtinId="9" hidden="1"/>
    <cellStyle name="Followed Hyperlink" xfId="1041" builtinId="9" hidden="1"/>
    <cellStyle name="Followed Hyperlink" xfId="1042" builtinId="9" hidden="1"/>
    <cellStyle name="Followed Hyperlink" xfId="1043" builtinId="9" hidden="1"/>
    <cellStyle name="Followed Hyperlink" xfId="1044" builtinId="9" hidden="1"/>
    <cellStyle name="Followed Hyperlink" xfId="1045" builtinId="9" hidden="1"/>
    <cellStyle name="Followed Hyperlink" xfId="1046" builtinId="9" hidden="1"/>
    <cellStyle name="Followed Hyperlink" xfId="1047" builtinId="9" hidden="1"/>
    <cellStyle name="Followed Hyperlink" xfId="1048" builtinId="9" hidden="1"/>
    <cellStyle name="Followed Hyperlink" xfId="1049" builtinId="9" hidden="1"/>
    <cellStyle name="Followed Hyperlink" xfId="1050" builtinId="9" hidden="1"/>
    <cellStyle name="Followed Hyperlink" xfId="1051" builtinId="9" hidden="1"/>
    <cellStyle name="Followed Hyperlink" xfId="1052" builtinId="9" hidden="1"/>
    <cellStyle name="Followed Hyperlink" xfId="1053" builtinId="9" hidden="1"/>
    <cellStyle name="Followed Hyperlink" xfId="1054" builtinId="9" hidden="1"/>
    <cellStyle name="Followed Hyperlink" xfId="1055" builtinId="9" hidden="1"/>
    <cellStyle name="Followed Hyperlink" xfId="1056" builtinId="9" hidden="1"/>
    <cellStyle name="Followed Hyperlink" xfId="1057" builtinId="9" hidden="1"/>
    <cellStyle name="Followed Hyperlink" xfId="1058" builtinId="9" hidden="1"/>
    <cellStyle name="Followed Hyperlink" xfId="1059" builtinId="9" hidden="1"/>
    <cellStyle name="Followed Hyperlink" xfId="1060" builtinId="9" hidden="1"/>
    <cellStyle name="Followed Hyperlink" xfId="1061" builtinId="9" hidden="1"/>
    <cellStyle name="Followed Hyperlink" xfId="1062" builtinId="9" hidden="1"/>
    <cellStyle name="Followed Hyperlink" xfId="1063" builtinId="9" hidden="1"/>
    <cellStyle name="Followed Hyperlink" xfId="1064" builtinId="9" hidden="1"/>
    <cellStyle name="Followed Hyperlink" xfId="1065" builtinId="9" hidden="1"/>
    <cellStyle name="Followed Hyperlink" xfId="1066" builtinId="9" hidden="1"/>
    <cellStyle name="Followed Hyperlink" xfId="1067" builtinId="9" hidden="1"/>
    <cellStyle name="Followed Hyperlink" xfId="1068" builtinId="9" hidden="1"/>
    <cellStyle name="Followed Hyperlink" xfId="1069" builtinId="9" hidden="1"/>
    <cellStyle name="Followed Hyperlink" xfId="1070" builtinId="9" hidden="1"/>
    <cellStyle name="Followed Hyperlink" xfId="1071" builtinId="9" hidden="1"/>
    <cellStyle name="Followed Hyperlink" xfId="1072" builtinId="9" hidden="1"/>
    <cellStyle name="Followed Hyperlink" xfId="1073" builtinId="9" hidden="1"/>
    <cellStyle name="Followed Hyperlink" xfId="1074" builtinId="9" hidden="1"/>
    <cellStyle name="Followed Hyperlink" xfId="1075" builtinId="9" hidden="1"/>
    <cellStyle name="Followed Hyperlink" xfId="1076" builtinId="9" hidden="1"/>
    <cellStyle name="Followed Hyperlink" xfId="1077" builtinId="9" hidden="1"/>
    <cellStyle name="Followed Hyperlink" xfId="1078" builtinId="9" hidden="1"/>
    <cellStyle name="Followed Hyperlink" xfId="1079" builtinId="9" hidden="1"/>
    <cellStyle name="Followed Hyperlink" xfId="1080" builtinId="9" hidden="1"/>
    <cellStyle name="Followed Hyperlink" xfId="1081" builtinId="9" hidden="1"/>
    <cellStyle name="Followed Hyperlink" xfId="1082" builtinId="9" hidden="1"/>
    <cellStyle name="Followed Hyperlink" xfId="1083" builtinId="9" hidden="1"/>
    <cellStyle name="Followed Hyperlink" xfId="1084" builtinId="9" hidden="1"/>
    <cellStyle name="Followed Hyperlink" xfId="1085" builtinId="9" hidden="1"/>
    <cellStyle name="Followed Hyperlink" xfId="1086" builtinId="9" hidden="1"/>
    <cellStyle name="Followed Hyperlink" xfId="1087" builtinId="9" hidden="1"/>
    <cellStyle name="Followed Hyperlink" xfId="1088" builtinId="9" hidden="1"/>
    <cellStyle name="Followed Hyperlink" xfId="1089" builtinId="9" hidden="1"/>
    <cellStyle name="Followed Hyperlink" xfId="1090" builtinId="9" hidden="1"/>
    <cellStyle name="Followed Hyperlink" xfId="1091" builtinId="9" hidden="1"/>
    <cellStyle name="Followed Hyperlink" xfId="1092" builtinId="9" hidden="1"/>
    <cellStyle name="Followed Hyperlink" xfId="1093" builtinId="9" hidden="1"/>
    <cellStyle name="Followed Hyperlink" xfId="1094" builtinId="9" hidden="1"/>
    <cellStyle name="Followed Hyperlink" xfId="1095" builtinId="9" hidden="1"/>
    <cellStyle name="Followed Hyperlink" xfId="1096" builtinId="9" hidden="1"/>
    <cellStyle name="Followed Hyperlink" xfId="1097" builtinId="9" hidden="1"/>
    <cellStyle name="Followed Hyperlink" xfId="1098" builtinId="9" hidden="1"/>
    <cellStyle name="Followed Hyperlink" xfId="1099" builtinId="9" hidden="1"/>
    <cellStyle name="Followed Hyperlink" xfId="1100" builtinId="9" hidden="1"/>
    <cellStyle name="Followed Hyperlink" xfId="1101" builtinId="9" hidden="1"/>
    <cellStyle name="Followed Hyperlink" xfId="1102" builtinId="9" hidden="1"/>
    <cellStyle name="Followed Hyperlink" xfId="1103" builtinId="9" hidden="1"/>
    <cellStyle name="Followed Hyperlink" xfId="1104" builtinId="9" hidden="1"/>
    <cellStyle name="Followed Hyperlink" xfId="1105" builtinId="9" hidden="1"/>
    <cellStyle name="Followed Hyperlink" xfId="1106" builtinId="9" hidden="1"/>
    <cellStyle name="Followed Hyperlink" xfId="1107" builtinId="9" hidden="1"/>
    <cellStyle name="Followed Hyperlink" xfId="1108" builtinId="9" hidden="1"/>
    <cellStyle name="Followed Hyperlink" xfId="1109" builtinId="9" hidden="1"/>
    <cellStyle name="Followed Hyperlink" xfId="1110" builtinId="9" hidden="1"/>
    <cellStyle name="Followed Hyperlink" xfId="1111" builtinId="9" hidden="1"/>
    <cellStyle name="Followed Hyperlink" xfId="1112" builtinId="9" hidden="1"/>
    <cellStyle name="Followed Hyperlink" xfId="1113" builtinId="9" hidden="1"/>
    <cellStyle name="Followed Hyperlink" xfId="1114" builtinId="9" hidden="1"/>
    <cellStyle name="Followed Hyperlink" xfId="1115" builtinId="9" hidden="1"/>
    <cellStyle name="Followed Hyperlink" xfId="1116" builtinId="9" hidden="1"/>
    <cellStyle name="Followed Hyperlink" xfId="1117" builtinId="9" hidden="1"/>
    <cellStyle name="Followed Hyperlink" xfId="1118" builtinId="9" hidden="1"/>
    <cellStyle name="Followed Hyperlink" xfId="1119" builtinId="9" hidden="1"/>
    <cellStyle name="Followed Hyperlink" xfId="1120" builtinId="9" hidden="1"/>
    <cellStyle name="Followed Hyperlink" xfId="1121" builtinId="9" hidden="1"/>
    <cellStyle name="Followed Hyperlink" xfId="1122" builtinId="9" hidden="1"/>
    <cellStyle name="Followed Hyperlink" xfId="1123" builtinId="9" hidden="1"/>
    <cellStyle name="Followed Hyperlink" xfId="1124" builtinId="9" hidden="1"/>
    <cellStyle name="Followed Hyperlink" xfId="1125" builtinId="9" hidden="1"/>
    <cellStyle name="Followed Hyperlink" xfId="1126" builtinId="9" hidden="1"/>
    <cellStyle name="Followed Hyperlink" xfId="1127" builtinId="9" hidden="1"/>
    <cellStyle name="Followed Hyperlink" xfId="1128" builtinId="9" hidden="1"/>
    <cellStyle name="Followed Hyperlink" xfId="1129" builtinId="9" hidden="1"/>
    <cellStyle name="Followed Hyperlink" xfId="1130" builtinId="9" hidden="1"/>
    <cellStyle name="Followed Hyperlink" xfId="1131" builtinId="9" hidden="1"/>
    <cellStyle name="Followed Hyperlink" xfId="1132" builtinId="9" hidden="1"/>
    <cellStyle name="Followed Hyperlink" xfId="1133" builtinId="9" hidden="1"/>
    <cellStyle name="Followed Hyperlink" xfId="1134" builtinId="9" hidden="1"/>
    <cellStyle name="Followed Hyperlink" xfId="1135" builtinId="9" hidden="1"/>
    <cellStyle name="Followed Hyperlink" xfId="1136" builtinId="9" hidden="1"/>
    <cellStyle name="Followed Hyperlink" xfId="1137" builtinId="9" hidden="1"/>
    <cellStyle name="Followed Hyperlink" xfId="1138" builtinId="9" hidden="1"/>
    <cellStyle name="Followed Hyperlink" xfId="1139" builtinId="9" hidden="1"/>
    <cellStyle name="Followed Hyperlink" xfId="1140" builtinId="9" hidden="1"/>
    <cellStyle name="Followed Hyperlink" xfId="1141" builtinId="9" hidden="1"/>
    <cellStyle name="Followed Hyperlink" xfId="1142" builtinId="9" hidden="1"/>
    <cellStyle name="Followed Hyperlink" xfId="1143" builtinId="9" hidden="1"/>
    <cellStyle name="Followed Hyperlink" xfId="1144" builtinId="9" hidden="1"/>
    <cellStyle name="Followed Hyperlink" xfId="1145" builtinId="9" hidden="1"/>
    <cellStyle name="Followed Hyperlink" xfId="1146" builtinId="9" hidden="1"/>
    <cellStyle name="Followed Hyperlink" xfId="1147" builtinId="9" hidden="1"/>
    <cellStyle name="Followed Hyperlink" xfId="1148" builtinId="9" hidden="1"/>
    <cellStyle name="Followed Hyperlink" xfId="1149" builtinId="9" hidden="1"/>
    <cellStyle name="Followed Hyperlink" xfId="1150" builtinId="9" hidden="1"/>
    <cellStyle name="Followed Hyperlink" xfId="1151" builtinId="9" hidden="1"/>
    <cellStyle name="Followed Hyperlink" xfId="1152" builtinId="9" hidden="1"/>
    <cellStyle name="Followed Hyperlink" xfId="1153" builtinId="9" hidden="1"/>
    <cellStyle name="Followed Hyperlink" xfId="1154" builtinId="9" hidden="1"/>
    <cellStyle name="Followed Hyperlink" xfId="1155" builtinId="9" hidden="1"/>
    <cellStyle name="Followed Hyperlink" xfId="1156" builtinId="9" hidden="1"/>
    <cellStyle name="Followed Hyperlink" xfId="1157" builtinId="9" hidden="1"/>
    <cellStyle name="Followed Hyperlink" xfId="1158" builtinId="9" hidden="1"/>
    <cellStyle name="Followed Hyperlink" xfId="1159" builtinId="9" hidden="1"/>
    <cellStyle name="Followed Hyperlink" xfId="1160" builtinId="9" hidden="1"/>
    <cellStyle name="Followed Hyperlink" xfId="1161" builtinId="9" hidden="1"/>
    <cellStyle name="Followed Hyperlink" xfId="1162" builtinId="9" hidden="1"/>
    <cellStyle name="Followed Hyperlink" xfId="1163" builtinId="9" hidden="1"/>
    <cellStyle name="Followed Hyperlink" xfId="1164" builtinId="9" hidden="1"/>
    <cellStyle name="Followed Hyperlink" xfId="1165" builtinId="9" hidden="1"/>
    <cellStyle name="Followed Hyperlink" xfId="1166" builtinId="9" hidden="1"/>
    <cellStyle name="Followed Hyperlink" xfId="1167" builtinId="9" hidden="1"/>
    <cellStyle name="Followed Hyperlink" xfId="1168" builtinId="9" hidden="1"/>
    <cellStyle name="Followed Hyperlink" xfId="1169" builtinId="9" hidden="1"/>
    <cellStyle name="Followed Hyperlink" xfId="1170" builtinId="9" hidden="1"/>
    <cellStyle name="Followed Hyperlink" xfId="1171" builtinId="9" hidden="1"/>
    <cellStyle name="Followed Hyperlink" xfId="1172" builtinId="9" hidden="1"/>
    <cellStyle name="Followed Hyperlink" xfId="1173" builtinId="9" hidden="1"/>
    <cellStyle name="Followed Hyperlink" xfId="1174" builtinId="9" hidden="1"/>
    <cellStyle name="Followed Hyperlink" xfId="1175" builtinId="9" hidden="1"/>
    <cellStyle name="Followed Hyperlink" xfId="1176" builtinId="9" hidden="1"/>
    <cellStyle name="Followed Hyperlink" xfId="1177" builtinId="9" hidden="1"/>
    <cellStyle name="Followed Hyperlink" xfId="1178" builtinId="9" hidden="1"/>
    <cellStyle name="Followed Hyperlink" xfId="1179" builtinId="9" hidden="1"/>
    <cellStyle name="Followed Hyperlink" xfId="1180" builtinId="9" hidden="1"/>
    <cellStyle name="Followed Hyperlink" xfId="1181" builtinId="9" hidden="1"/>
    <cellStyle name="Followed Hyperlink" xfId="1182" builtinId="9" hidden="1"/>
    <cellStyle name="Followed Hyperlink" xfId="1183" builtinId="9" hidden="1"/>
    <cellStyle name="Followed Hyperlink" xfId="1184" builtinId="9" hidden="1"/>
    <cellStyle name="Followed Hyperlink" xfId="1185" builtinId="9" hidden="1"/>
    <cellStyle name="Followed Hyperlink" xfId="1186" builtinId="9" hidden="1"/>
    <cellStyle name="Followed Hyperlink" xfId="1187" builtinId="9" hidden="1"/>
    <cellStyle name="Followed Hyperlink" xfId="1188" builtinId="9" hidden="1"/>
    <cellStyle name="Followed Hyperlink" xfId="1189" builtinId="9" hidden="1"/>
    <cellStyle name="Followed Hyperlink" xfId="1190" builtinId="9" hidden="1"/>
    <cellStyle name="Followed Hyperlink" xfId="1191" builtinId="9" hidden="1"/>
    <cellStyle name="Followed Hyperlink" xfId="1192" builtinId="9" hidden="1"/>
    <cellStyle name="Followed Hyperlink" xfId="1193" builtinId="9" hidden="1"/>
    <cellStyle name="Followed Hyperlink" xfId="1194" builtinId="9" hidden="1"/>
    <cellStyle name="Followed Hyperlink" xfId="1195" builtinId="9" hidden="1"/>
    <cellStyle name="Followed Hyperlink" xfId="1196" builtinId="9" hidden="1"/>
    <cellStyle name="Followed Hyperlink" xfId="1197" builtinId="9" hidden="1"/>
    <cellStyle name="Followed Hyperlink" xfId="1198" builtinId="9" hidden="1"/>
    <cellStyle name="Followed Hyperlink" xfId="1199" builtinId="9" hidden="1"/>
    <cellStyle name="Followed Hyperlink" xfId="1200" builtinId="9" hidden="1"/>
    <cellStyle name="Followed Hyperlink" xfId="1201" builtinId="9" hidden="1"/>
    <cellStyle name="Followed Hyperlink" xfId="1202" builtinId="9" hidden="1"/>
    <cellStyle name="Followed Hyperlink" xfId="1203" builtinId="9" hidden="1"/>
    <cellStyle name="Followed Hyperlink" xfId="1204" builtinId="9" hidden="1"/>
    <cellStyle name="Followed Hyperlink" xfId="1205" builtinId="9" hidden="1"/>
    <cellStyle name="Followed Hyperlink" xfId="1206" builtinId="9" hidden="1"/>
    <cellStyle name="Followed Hyperlink" xfId="1207" builtinId="9" hidden="1"/>
    <cellStyle name="Followed Hyperlink" xfId="1208" builtinId="9" hidden="1"/>
    <cellStyle name="Followed Hyperlink" xfId="1209" builtinId="9" hidden="1"/>
    <cellStyle name="Followed Hyperlink" xfId="1210" builtinId="9" hidden="1"/>
    <cellStyle name="Followed Hyperlink" xfId="1211" builtinId="9" hidden="1"/>
    <cellStyle name="Followed Hyperlink" xfId="1212" builtinId="9" hidden="1"/>
    <cellStyle name="Followed Hyperlink" xfId="1213" builtinId="9" hidden="1"/>
    <cellStyle name="Followed Hyperlink" xfId="1214" builtinId="9" hidden="1"/>
    <cellStyle name="Followed Hyperlink" xfId="1215" builtinId="9" hidden="1"/>
    <cellStyle name="Followed Hyperlink" xfId="1216" builtinId="9" hidden="1"/>
    <cellStyle name="Followed Hyperlink" xfId="1217" builtinId="9" hidden="1"/>
    <cellStyle name="Followed Hyperlink" xfId="1218" builtinId="9" hidden="1"/>
    <cellStyle name="Followed Hyperlink" xfId="1219" builtinId="9" hidden="1"/>
    <cellStyle name="Followed Hyperlink" xfId="1220" builtinId="9" hidden="1"/>
    <cellStyle name="Followed Hyperlink" xfId="1221" builtinId="9" hidden="1"/>
    <cellStyle name="Followed Hyperlink" xfId="1222" builtinId="9" hidden="1"/>
    <cellStyle name="Followed Hyperlink" xfId="1223" builtinId="9" hidden="1"/>
    <cellStyle name="Followed Hyperlink" xfId="1224" builtinId="9" hidden="1"/>
    <cellStyle name="Followed Hyperlink" xfId="1225" builtinId="9" hidden="1"/>
    <cellStyle name="Followed Hyperlink" xfId="1226" builtinId="9" hidden="1"/>
    <cellStyle name="Followed Hyperlink" xfId="1227" builtinId="9" hidden="1"/>
    <cellStyle name="Followed Hyperlink" xfId="1228" builtinId="9" hidden="1"/>
    <cellStyle name="Followed Hyperlink" xfId="1229" builtinId="9" hidden="1"/>
    <cellStyle name="Followed Hyperlink" xfId="1230" builtinId="9" hidden="1"/>
    <cellStyle name="Followed Hyperlink" xfId="1231" builtinId="9" hidden="1"/>
    <cellStyle name="Followed Hyperlink" xfId="1232" builtinId="9" hidden="1"/>
    <cellStyle name="Followed Hyperlink" xfId="1233" builtinId="9" hidden="1"/>
    <cellStyle name="Followed Hyperlink" xfId="1234" builtinId="9" hidden="1"/>
    <cellStyle name="Followed Hyperlink" xfId="1235" builtinId="9" hidden="1"/>
    <cellStyle name="Followed Hyperlink" xfId="1236" builtinId="9" hidden="1"/>
    <cellStyle name="Followed Hyperlink" xfId="1237" builtinId="9" hidden="1"/>
    <cellStyle name="Followed Hyperlink" xfId="1238" builtinId="9" hidden="1"/>
    <cellStyle name="Followed Hyperlink" xfId="1239" builtinId="9" hidden="1"/>
    <cellStyle name="Followed Hyperlink" xfId="1240" builtinId="9" hidden="1"/>
    <cellStyle name="Followed Hyperlink" xfId="1241" builtinId="9" hidden="1"/>
    <cellStyle name="Followed Hyperlink" xfId="1242" builtinId="9" hidden="1"/>
    <cellStyle name="Followed Hyperlink" xfId="1243" builtinId="9" hidden="1"/>
    <cellStyle name="Followed Hyperlink" xfId="1244" builtinId="9" hidden="1"/>
    <cellStyle name="Followed Hyperlink" xfId="1245" builtinId="9" hidden="1"/>
    <cellStyle name="Followed Hyperlink" xfId="1246" builtinId="9" hidden="1"/>
    <cellStyle name="Followed Hyperlink" xfId="1247" builtinId="9" hidden="1"/>
    <cellStyle name="Followed Hyperlink" xfId="1248" builtinId="9" hidden="1"/>
    <cellStyle name="Followed Hyperlink" xfId="1249" builtinId="9" hidden="1"/>
    <cellStyle name="Followed Hyperlink" xfId="1250" builtinId="9" hidden="1"/>
    <cellStyle name="Followed Hyperlink" xfId="1251" builtinId="9" hidden="1"/>
    <cellStyle name="Followed Hyperlink" xfId="1252" builtinId="9" hidden="1"/>
    <cellStyle name="Followed Hyperlink" xfId="1253" builtinId="9" hidden="1"/>
    <cellStyle name="Followed Hyperlink" xfId="1254" builtinId="9" hidden="1"/>
    <cellStyle name="Followed Hyperlink" xfId="1255" builtinId="9" hidden="1"/>
    <cellStyle name="Followed Hyperlink" xfId="1256" builtinId="9" hidden="1"/>
    <cellStyle name="Followed Hyperlink" xfId="1257" builtinId="9" hidden="1"/>
    <cellStyle name="Followed Hyperlink" xfId="1258" builtinId="9" hidden="1"/>
    <cellStyle name="Followed Hyperlink" xfId="1259" builtinId="9" hidden="1"/>
    <cellStyle name="Followed Hyperlink" xfId="1260" builtinId="9" hidden="1"/>
    <cellStyle name="Followed Hyperlink" xfId="1261" builtinId="9" hidden="1"/>
    <cellStyle name="Followed Hyperlink" xfId="1262" builtinId="9" hidden="1"/>
    <cellStyle name="Followed Hyperlink" xfId="1263" builtinId="9" hidden="1"/>
    <cellStyle name="Followed Hyperlink" xfId="1264" builtinId="9" hidden="1"/>
    <cellStyle name="Followed Hyperlink" xfId="1265" builtinId="9" hidden="1"/>
    <cellStyle name="Followed Hyperlink" xfId="1266" builtinId="9" hidden="1"/>
    <cellStyle name="Followed Hyperlink" xfId="1267" builtinId="9" hidden="1"/>
    <cellStyle name="Followed Hyperlink" xfId="1268" builtinId="9" hidden="1"/>
    <cellStyle name="Followed Hyperlink" xfId="1269" builtinId="9" hidden="1"/>
    <cellStyle name="Followed Hyperlink" xfId="1270" builtinId="9" hidden="1"/>
    <cellStyle name="Followed Hyperlink" xfId="1271" builtinId="9" hidden="1"/>
    <cellStyle name="Followed Hyperlink" xfId="1272" builtinId="9" hidden="1"/>
    <cellStyle name="Followed Hyperlink" xfId="1273" builtinId="9" hidden="1"/>
    <cellStyle name="Followed Hyperlink" xfId="1274" builtinId="9" hidden="1"/>
    <cellStyle name="Followed Hyperlink" xfId="1275" builtinId="9" hidden="1"/>
    <cellStyle name="Followed Hyperlink" xfId="1276" builtinId="9" hidden="1"/>
    <cellStyle name="Followed Hyperlink" xfId="1277" builtinId="9" hidden="1"/>
    <cellStyle name="Followed Hyperlink" xfId="1278" builtinId="9" hidden="1"/>
    <cellStyle name="Followed Hyperlink" xfId="1279" builtinId="9" hidden="1"/>
    <cellStyle name="Followed Hyperlink" xfId="1280" builtinId="9" hidden="1"/>
    <cellStyle name="Followed Hyperlink" xfId="1281" builtinId="9" hidden="1"/>
    <cellStyle name="Followed Hyperlink" xfId="1282" builtinId="9" hidden="1"/>
    <cellStyle name="Followed Hyperlink" xfId="1283" builtinId="9" hidden="1"/>
    <cellStyle name="Followed Hyperlink" xfId="1284" builtinId="9" hidden="1"/>
    <cellStyle name="Followed Hyperlink" xfId="1285" builtinId="9" hidden="1"/>
    <cellStyle name="Followed Hyperlink" xfId="1286" builtinId="9" hidden="1"/>
    <cellStyle name="Followed Hyperlink" xfId="1287" builtinId="9" hidden="1"/>
    <cellStyle name="Followed Hyperlink" xfId="1288" builtinId="9" hidden="1"/>
    <cellStyle name="Followed Hyperlink" xfId="1289" builtinId="9" hidden="1"/>
    <cellStyle name="Followed Hyperlink" xfId="1290" builtinId="9" hidden="1"/>
    <cellStyle name="Followed Hyperlink" xfId="1291" builtinId="9" hidden="1"/>
    <cellStyle name="Followed Hyperlink" xfId="1292" builtinId="9" hidden="1"/>
    <cellStyle name="Followed Hyperlink" xfId="1293" builtinId="9" hidden="1"/>
    <cellStyle name="Followed Hyperlink" xfId="1294" builtinId="9" hidden="1"/>
    <cellStyle name="Followed Hyperlink" xfId="1295" builtinId="9" hidden="1"/>
    <cellStyle name="Followed Hyperlink" xfId="1296" builtinId="9" hidden="1"/>
    <cellStyle name="Followed Hyperlink" xfId="1297" builtinId="9" hidden="1"/>
    <cellStyle name="Followed Hyperlink" xfId="1298" builtinId="9" hidden="1"/>
    <cellStyle name="Followed Hyperlink" xfId="1299" builtinId="9" hidden="1"/>
    <cellStyle name="Followed Hyperlink" xfId="1300" builtinId="9" hidden="1"/>
    <cellStyle name="Followed Hyperlink" xfId="1301" builtinId="9" hidden="1"/>
    <cellStyle name="Followed Hyperlink" xfId="1302" builtinId="9" hidden="1"/>
    <cellStyle name="Followed Hyperlink" xfId="1303" builtinId="9" hidden="1"/>
    <cellStyle name="Followed Hyperlink" xfId="1304" builtinId="9" hidden="1"/>
    <cellStyle name="Followed Hyperlink" xfId="1305" builtinId="9" hidden="1"/>
    <cellStyle name="Followed Hyperlink" xfId="1306" builtinId="9" hidden="1"/>
    <cellStyle name="Followed Hyperlink" xfId="1307" builtinId="9" hidden="1"/>
    <cellStyle name="Followed Hyperlink" xfId="1308" builtinId="9" hidden="1"/>
    <cellStyle name="Followed Hyperlink" xfId="1309" builtinId="9" hidden="1"/>
    <cellStyle name="Followed Hyperlink" xfId="1310" builtinId="9" hidden="1"/>
    <cellStyle name="Followed Hyperlink" xfId="1311" builtinId="9" hidden="1"/>
    <cellStyle name="Followed Hyperlink" xfId="1312" builtinId="9" hidden="1"/>
    <cellStyle name="Followed Hyperlink" xfId="1313" builtinId="9" hidden="1"/>
    <cellStyle name="Followed Hyperlink" xfId="1314" builtinId="9" hidden="1"/>
    <cellStyle name="Followed Hyperlink" xfId="1315" builtinId="9" hidden="1"/>
    <cellStyle name="Followed Hyperlink" xfId="1316" builtinId="9" hidden="1"/>
    <cellStyle name="Followed Hyperlink" xfId="1317" builtinId="9" hidden="1"/>
    <cellStyle name="Followed Hyperlink" xfId="1318" builtinId="9" hidden="1"/>
    <cellStyle name="Followed Hyperlink" xfId="1319" builtinId="9" hidden="1"/>
    <cellStyle name="Followed Hyperlink" xfId="1320" builtinId="9" hidden="1"/>
    <cellStyle name="Followed Hyperlink" xfId="1321" builtinId="9" hidden="1"/>
    <cellStyle name="Followed Hyperlink" xfId="1322" builtinId="9" hidden="1"/>
    <cellStyle name="Followed Hyperlink" xfId="1323" builtinId="9" hidden="1"/>
    <cellStyle name="Followed Hyperlink" xfId="1324" builtinId="9" hidden="1"/>
    <cellStyle name="Followed Hyperlink" xfId="1325" builtinId="9" hidden="1"/>
    <cellStyle name="Followed Hyperlink" xfId="1326" builtinId="9" hidden="1"/>
    <cellStyle name="Followed Hyperlink" xfId="1327" builtinId="9" hidden="1"/>
    <cellStyle name="Followed Hyperlink" xfId="1328" builtinId="9" hidden="1"/>
    <cellStyle name="Followed Hyperlink" xfId="1329" builtinId="9" hidden="1"/>
    <cellStyle name="Followed Hyperlink" xfId="1330" builtinId="9" hidden="1"/>
    <cellStyle name="Followed Hyperlink" xfId="1331" builtinId="9" hidden="1"/>
    <cellStyle name="Followed Hyperlink" xfId="1334" builtinId="9" hidden="1"/>
    <cellStyle name="Followed Hyperlink" xfId="1335" builtinId="9" hidden="1"/>
    <cellStyle name="Followed Hyperlink" xfId="1336" builtinId="9" hidden="1"/>
    <cellStyle name="Followed Hyperlink" xfId="1337" builtinId="9" hidden="1"/>
    <cellStyle name="Followed Hyperlink" xfId="1338" builtinId="9" hidden="1"/>
    <cellStyle name="Followed Hyperlink" xfId="1339" builtinId="9" hidden="1"/>
    <cellStyle name="Followed Hyperlink" xfId="1340" builtinId="9" hidden="1"/>
    <cellStyle name="Followed Hyperlink" xfId="1341" builtinId="9" hidden="1"/>
    <cellStyle name="Followed Hyperlink" xfId="1342" builtinId="9" hidden="1"/>
    <cellStyle name="Followed Hyperlink" xfId="1343" builtinId="9" hidden="1"/>
    <cellStyle name="Followed Hyperlink" xfId="1344" builtinId="9" hidden="1"/>
    <cellStyle name="Followed Hyperlink" xfId="1345" builtinId="9" hidden="1"/>
    <cellStyle name="Followed Hyperlink" xfId="1346" builtinId="9" hidden="1"/>
    <cellStyle name="Followed Hyperlink" xfId="1347" builtinId="9" hidden="1"/>
    <cellStyle name="Followed Hyperlink" xfId="1348" builtinId="9" hidden="1"/>
    <cellStyle name="Followed Hyperlink" xfId="1349" builtinId="9" hidden="1"/>
    <cellStyle name="Followed Hyperlink" xfId="1350" builtinId="9" hidden="1"/>
    <cellStyle name="Followed Hyperlink" xfId="1351" builtinId="9" hidden="1"/>
    <cellStyle name="Followed Hyperlink" xfId="1352" builtinId="9" hidden="1"/>
    <cellStyle name="Followed Hyperlink" xfId="1353" builtinId="9" hidden="1"/>
    <cellStyle name="Followed Hyperlink" xfId="1354" builtinId="9" hidden="1"/>
    <cellStyle name="Followed Hyperlink" xfId="1355" builtinId="9" hidden="1"/>
    <cellStyle name="Followed Hyperlink" xfId="1356" builtinId="9" hidden="1"/>
    <cellStyle name="Followed Hyperlink" xfId="1357" builtinId="9" hidden="1"/>
    <cellStyle name="Followed Hyperlink" xfId="1358" builtinId="9" hidden="1"/>
    <cellStyle name="Followed Hyperlink" xfId="1359" builtinId="9" hidden="1"/>
    <cellStyle name="Followed Hyperlink" xfId="1360" builtinId="9" hidden="1"/>
    <cellStyle name="Followed Hyperlink" xfId="1361" builtinId="9" hidden="1"/>
    <cellStyle name="Followed Hyperlink" xfId="1362" builtinId="9" hidden="1"/>
    <cellStyle name="Followed Hyperlink" xfId="1363" builtinId="9" hidden="1"/>
    <cellStyle name="Followed Hyperlink" xfId="1364" builtinId="9" hidden="1"/>
    <cellStyle name="Followed Hyperlink" xfId="1365" builtinId="9" hidden="1"/>
    <cellStyle name="Followed Hyperlink" xfId="1366" builtinId="9" hidden="1"/>
    <cellStyle name="Followed Hyperlink" xfId="1367" builtinId="9" hidden="1"/>
    <cellStyle name="Followed Hyperlink" xfId="1368" builtinId="9" hidden="1"/>
    <cellStyle name="Followed Hyperlink" xfId="1369" builtinId="9" hidden="1"/>
    <cellStyle name="Followed Hyperlink" xfId="1370" builtinId="9" hidden="1"/>
    <cellStyle name="Followed Hyperlink" xfId="1371" builtinId="9" hidden="1"/>
    <cellStyle name="Followed Hyperlink" xfId="1372" builtinId="9" hidden="1"/>
    <cellStyle name="Followed Hyperlink" xfId="1373" builtinId="9" hidden="1"/>
    <cellStyle name="Followed Hyperlink" xfId="1374" builtinId="9" hidden="1"/>
    <cellStyle name="Followed Hyperlink" xfId="1375" builtinId="9" hidden="1"/>
    <cellStyle name="Followed Hyperlink" xfId="1376" builtinId="9" hidden="1"/>
    <cellStyle name="Followed Hyperlink" xfId="1377" builtinId="9" hidden="1"/>
    <cellStyle name="Followed Hyperlink" xfId="1378" builtinId="9" hidden="1"/>
    <cellStyle name="Followed Hyperlink" xfId="1379" builtinId="9" hidden="1"/>
    <cellStyle name="Followed Hyperlink" xfId="1380" builtinId="9" hidden="1"/>
    <cellStyle name="Followed Hyperlink" xfId="1381" builtinId="9" hidden="1"/>
    <cellStyle name="Followed Hyperlink" xfId="1382" builtinId="9" hidden="1"/>
    <cellStyle name="Followed Hyperlink" xfId="1383" builtinId="9" hidden="1"/>
    <cellStyle name="Followed Hyperlink" xfId="1384" builtinId="9" hidden="1"/>
    <cellStyle name="Followed Hyperlink" xfId="1385" builtinId="9" hidden="1"/>
    <cellStyle name="Followed Hyperlink" xfId="1386" builtinId="9" hidden="1"/>
    <cellStyle name="Followed Hyperlink" xfId="1387" builtinId="9" hidden="1"/>
    <cellStyle name="Followed Hyperlink" xfId="1388" builtinId="9" hidden="1"/>
    <cellStyle name="Followed Hyperlink" xfId="1389" builtinId="9" hidden="1"/>
    <cellStyle name="Followed Hyperlink" xfId="1390" builtinId="9" hidden="1"/>
    <cellStyle name="Followed Hyperlink" xfId="1391" builtinId="9" hidden="1"/>
    <cellStyle name="Followed Hyperlink" xfId="1392" builtinId="9" hidden="1"/>
    <cellStyle name="Followed Hyperlink" xfId="1393" builtinId="9" hidden="1"/>
    <cellStyle name="Followed Hyperlink" xfId="1394" builtinId="9" hidden="1"/>
    <cellStyle name="Followed Hyperlink" xfId="1395" builtinId="9" hidden="1"/>
    <cellStyle name="Followed Hyperlink" xfId="1396" builtinId="9" hidden="1"/>
    <cellStyle name="Followed Hyperlink" xfId="1397" builtinId="9" hidden="1"/>
    <cellStyle name="Followed Hyperlink" xfId="1398" builtinId="9" hidden="1"/>
    <cellStyle name="Followed Hyperlink" xfId="1399" builtinId="9" hidden="1"/>
    <cellStyle name="Followed Hyperlink" xfId="1400" builtinId="9" hidden="1"/>
    <cellStyle name="Followed Hyperlink" xfId="1401" builtinId="9" hidden="1"/>
    <cellStyle name="Followed Hyperlink" xfId="1402" builtinId="9" hidden="1"/>
    <cellStyle name="Followed Hyperlink" xfId="1403" builtinId="9" hidden="1"/>
    <cellStyle name="Followed Hyperlink" xfId="1404" builtinId="9" hidden="1"/>
    <cellStyle name="Followed Hyperlink" xfId="1405" builtinId="9" hidden="1"/>
    <cellStyle name="Followed Hyperlink" xfId="1406" builtinId="9" hidden="1"/>
    <cellStyle name="Followed Hyperlink" xfId="1407" builtinId="9" hidden="1"/>
    <cellStyle name="Followed Hyperlink" xfId="1408" builtinId="9" hidden="1"/>
    <cellStyle name="Followed Hyperlink" xfId="1409" builtinId="9" hidden="1"/>
    <cellStyle name="Followed Hyperlink" xfId="1410" builtinId="9" hidden="1"/>
    <cellStyle name="Followed Hyperlink" xfId="1411" builtinId="9" hidden="1"/>
    <cellStyle name="Followed Hyperlink" xfId="1412" builtinId="9" hidden="1"/>
    <cellStyle name="Followed Hyperlink" xfId="1413" builtinId="9" hidden="1"/>
    <cellStyle name="Followed Hyperlink" xfId="1414" builtinId="9" hidden="1"/>
    <cellStyle name="Followed Hyperlink" xfId="1415" builtinId="9" hidden="1"/>
    <cellStyle name="Followed Hyperlink" xfId="1416" builtinId="9" hidden="1"/>
    <cellStyle name="Followed Hyperlink" xfId="1417" builtinId="9" hidden="1"/>
    <cellStyle name="Followed Hyperlink" xfId="1418" builtinId="9" hidden="1"/>
    <cellStyle name="Followed Hyperlink" xfId="1419" builtinId="9" hidden="1"/>
    <cellStyle name="Followed Hyperlink" xfId="1420" builtinId="9" hidden="1"/>
    <cellStyle name="Followed Hyperlink" xfId="1421" builtinId="9" hidden="1"/>
    <cellStyle name="Followed Hyperlink" xfId="1422" builtinId="9" hidden="1"/>
    <cellStyle name="Followed Hyperlink" xfId="1423" builtinId="9" hidden="1"/>
    <cellStyle name="Followed Hyperlink" xfId="1424" builtinId="9" hidden="1"/>
    <cellStyle name="Followed Hyperlink" xfId="1425" builtinId="9" hidden="1"/>
    <cellStyle name="Followed Hyperlink" xfId="1426" builtinId="9" hidden="1"/>
    <cellStyle name="Followed Hyperlink" xfId="1427" builtinId="9" hidden="1"/>
    <cellStyle name="Followed Hyperlink" xfId="1428" builtinId="9" hidden="1"/>
    <cellStyle name="Followed Hyperlink" xfId="1429" builtinId="9" hidden="1"/>
    <cellStyle name="Followed Hyperlink" xfId="1430" builtinId="9" hidden="1"/>
    <cellStyle name="Followed Hyperlink" xfId="1431" builtinId="9" hidden="1"/>
    <cellStyle name="Followed Hyperlink" xfId="1432" builtinId="9" hidden="1"/>
    <cellStyle name="Followed Hyperlink" xfId="1433" builtinId="9" hidden="1"/>
    <cellStyle name="Followed Hyperlink" xfId="1434" builtinId="9" hidden="1"/>
    <cellStyle name="Followed Hyperlink" xfId="1435" builtinId="9" hidden="1"/>
    <cellStyle name="Followed Hyperlink" xfId="1436" builtinId="9" hidden="1"/>
    <cellStyle name="Followed Hyperlink" xfId="1437" builtinId="9" hidden="1"/>
    <cellStyle name="Followed Hyperlink" xfId="1438" builtinId="9" hidden="1"/>
    <cellStyle name="Followed Hyperlink" xfId="1439" builtinId="9" hidden="1"/>
    <cellStyle name="Followed Hyperlink" xfId="1440" builtinId="9" hidden="1"/>
    <cellStyle name="Followed Hyperlink" xfId="1441" builtinId="9" hidden="1"/>
    <cellStyle name="Followed Hyperlink" xfId="1442" builtinId="9" hidden="1"/>
    <cellStyle name="Followed Hyperlink" xfId="1443" builtinId="9" hidden="1"/>
    <cellStyle name="Followed Hyperlink" xfId="1444" builtinId="9" hidden="1"/>
    <cellStyle name="Followed Hyperlink" xfId="1445" builtinId="9" hidden="1"/>
    <cellStyle name="Followed Hyperlink" xfId="1446" builtinId="9" hidden="1"/>
    <cellStyle name="Followed Hyperlink" xfId="1447" builtinId="9" hidden="1"/>
    <cellStyle name="Followed Hyperlink" xfId="1448" builtinId="9" hidden="1"/>
    <cellStyle name="Followed Hyperlink" xfId="1449" builtinId="9" hidden="1"/>
    <cellStyle name="Followed Hyperlink" xfId="1450" builtinId="9" hidden="1"/>
    <cellStyle name="Followed Hyperlink" xfId="1451" builtinId="9" hidden="1"/>
    <cellStyle name="Followed Hyperlink" xfId="1452" builtinId="9" hidden="1"/>
    <cellStyle name="Followed Hyperlink" xfId="1453" builtinId="9" hidden="1"/>
    <cellStyle name="Followed Hyperlink" xfId="1454" builtinId="9" hidden="1"/>
    <cellStyle name="Followed Hyperlink" xfId="1455" builtinId="9" hidden="1"/>
    <cellStyle name="Followed Hyperlink" xfId="1456" builtinId="9" hidden="1"/>
    <cellStyle name="Followed Hyperlink" xfId="1457" builtinId="9" hidden="1"/>
    <cellStyle name="Followed Hyperlink" xfId="1458" builtinId="9" hidden="1"/>
    <cellStyle name="Followed Hyperlink" xfId="1459" builtinId="9" hidden="1"/>
    <cellStyle name="Followed Hyperlink" xfId="1460" builtinId="9" hidden="1"/>
    <cellStyle name="Followed Hyperlink" xfId="1461" builtinId="9" hidden="1"/>
    <cellStyle name="Followed Hyperlink" xfId="1462" builtinId="9" hidden="1"/>
    <cellStyle name="Followed Hyperlink" xfId="1463" builtinId="9" hidden="1"/>
    <cellStyle name="Followed Hyperlink" xfId="1464" builtinId="9" hidden="1"/>
    <cellStyle name="Followed Hyperlink" xfId="1465" builtinId="9" hidden="1"/>
    <cellStyle name="Followed Hyperlink" xfId="1466" builtinId="9" hidden="1"/>
    <cellStyle name="Followed Hyperlink" xfId="1467" builtinId="9" hidden="1"/>
    <cellStyle name="Followed Hyperlink" xfId="1468" builtinId="9" hidden="1"/>
    <cellStyle name="Followed Hyperlink" xfId="1469" builtinId="9" hidden="1"/>
    <cellStyle name="Followed Hyperlink" xfId="1470" builtinId="9" hidden="1"/>
    <cellStyle name="Followed Hyperlink" xfId="1471" builtinId="9" hidden="1"/>
    <cellStyle name="Followed Hyperlink" xfId="1472" builtinId="9" hidden="1"/>
    <cellStyle name="Followed Hyperlink" xfId="1473" builtinId="9" hidden="1"/>
    <cellStyle name="Followed Hyperlink" xfId="1474" builtinId="9" hidden="1"/>
    <cellStyle name="Followed Hyperlink" xfId="1475" builtinId="9" hidden="1"/>
    <cellStyle name="Followed Hyperlink" xfId="1476" builtinId="9" hidden="1"/>
    <cellStyle name="Followed Hyperlink" xfId="1477" builtinId="9" hidden="1"/>
    <cellStyle name="Followed Hyperlink" xfId="1478" builtinId="9" hidden="1"/>
    <cellStyle name="Followed Hyperlink" xfId="1479" builtinId="9" hidden="1"/>
    <cellStyle name="Followed Hyperlink" xfId="1480" builtinId="9" hidden="1"/>
    <cellStyle name="Followed Hyperlink" xfId="1481" builtinId="9" hidden="1"/>
    <cellStyle name="Followed Hyperlink" xfId="1482" builtinId="9" hidden="1"/>
    <cellStyle name="Followed Hyperlink" xfId="1483" builtinId="9" hidden="1"/>
    <cellStyle name="Followed Hyperlink" xfId="1484" builtinId="9" hidden="1"/>
    <cellStyle name="Followed Hyperlink" xfId="1485" builtinId="9" hidden="1"/>
    <cellStyle name="Followed Hyperlink" xfId="1486" builtinId="9" hidden="1"/>
    <cellStyle name="Followed Hyperlink" xfId="1487" builtinId="9" hidden="1"/>
    <cellStyle name="Followed Hyperlink" xfId="1488" builtinId="9" hidden="1"/>
    <cellStyle name="Followed Hyperlink" xfId="1489" builtinId="9" hidden="1"/>
    <cellStyle name="Followed Hyperlink" xfId="1490" builtinId="9" hidden="1"/>
    <cellStyle name="Followed Hyperlink" xfId="1491" builtinId="9" hidden="1"/>
    <cellStyle name="Followed Hyperlink" xfId="1492" builtinId="9" hidden="1"/>
    <cellStyle name="Followed Hyperlink" xfId="1493" builtinId="9" hidden="1"/>
    <cellStyle name="Followed Hyperlink" xfId="1494" builtinId="9" hidden="1"/>
    <cellStyle name="Followed Hyperlink" xfId="1495" builtinId="9" hidden="1"/>
    <cellStyle name="Followed Hyperlink" xfId="1496" builtinId="9" hidden="1"/>
    <cellStyle name="Followed Hyperlink" xfId="1497" builtinId="9" hidden="1"/>
    <cellStyle name="Followed Hyperlink" xfId="1498" builtinId="9" hidden="1"/>
    <cellStyle name="Followed Hyperlink" xfId="1499" builtinId="9" hidden="1"/>
    <cellStyle name="Followed Hyperlink" xfId="1500" builtinId="9" hidden="1"/>
    <cellStyle name="Followed Hyperlink" xfId="1501" builtinId="9" hidden="1"/>
    <cellStyle name="Followed Hyperlink" xfId="1502" builtinId="9" hidden="1"/>
    <cellStyle name="Followed Hyperlink" xfId="1503" builtinId="9" hidden="1"/>
    <cellStyle name="Followed Hyperlink" xfId="1504" builtinId="9" hidden="1"/>
    <cellStyle name="Followed Hyperlink" xfId="1505" builtinId="9" hidden="1"/>
    <cellStyle name="Followed Hyperlink" xfId="1506" builtinId="9" hidden="1"/>
    <cellStyle name="Followed Hyperlink" xfId="1507" builtinId="9" hidden="1"/>
    <cellStyle name="Followed Hyperlink" xfId="1508" builtinId="9" hidden="1"/>
    <cellStyle name="Followed Hyperlink" xfId="1509" builtinId="9" hidden="1"/>
    <cellStyle name="Followed Hyperlink" xfId="1510" builtinId="9" hidden="1"/>
    <cellStyle name="Followed Hyperlink" xfId="1511" builtinId="9" hidden="1"/>
    <cellStyle name="Followed Hyperlink" xfId="1512" builtinId="9" hidden="1"/>
    <cellStyle name="Followed Hyperlink" xfId="1513" builtinId="9" hidden="1"/>
    <cellStyle name="Followed Hyperlink" xfId="1514" builtinId="9" hidden="1"/>
    <cellStyle name="Followed Hyperlink" xfId="1515" builtinId="9" hidden="1"/>
    <cellStyle name="Followed Hyperlink" xfId="1516" builtinId="9" hidden="1"/>
    <cellStyle name="Followed Hyperlink" xfId="1517" builtinId="9" hidden="1"/>
    <cellStyle name="Followed Hyperlink" xfId="1518" builtinId="9" hidden="1"/>
    <cellStyle name="Followed Hyperlink" xfId="1519" builtinId="9" hidden="1"/>
    <cellStyle name="Followed Hyperlink" xfId="1520" builtinId="9" hidden="1"/>
    <cellStyle name="Followed Hyperlink" xfId="1521" builtinId="9" hidden="1"/>
    <cellStyle name="Followed Hyperlink" xfId="1522" builtinId="9" hidden="1"/>
    <cellStyle name="Followed Hyperlink" xfId="1523" builtinId="9" hidden="1"/>
    <cellStyle name="Followed Hyperlink" xfId="1524" builtinId="9" hidden="1"/>
    <cellStyle name="Followed Hyperlink" xfId="1525" builtinId="9" hidden="1"/>
    <cellStyle name="Followed Hyperlink" xfId="1526" builtinId="9" hidden="1"/>
    <cellStyle name="Followed Hyperlink" xfId="1527" builtinId="9" hidden="1"/>
    <cellStyle name="Followed Hyperlink" xfId="1528" builtinId="9" hidden="1"/>
    <cellStyle name="Followed Hyperlink" xfId="1529" builtinId="9" hidden="1"/>
    <cellStyle name="Followed Hyperlink" xfId="1530" builtinId="9" hidden="1"/>
    <cellStyle name="Followed Hyperlink" xfId="1531" builtinId="9" hidden="1"/>
    <cellStyle name="Followed Hyperlink" xfId="1532" builtinId="9" hidden="1"/>
    <cellStyle name="Followed Hyperlink" xfId="1533" builtinId="9" hidden="1"/>
    <cellStyle name="Followed Hyperlink" xfId="1534" builtinId="9" hidden="1"/>
    <cellStyle name="Followed Hyperlink" xfId="1535" builtinId="9" hidden="1"/>
    <cellStyle name="Followed Hyperlink" xfId="1536" builtinId="9" hidden="1"/>
    <cellStyle name="Followed Hyperlink" xfId="1537" builtinId="9" hidden="1"/>
    <cellStyle name="Followed Hyperlink" xfId="1538" builtinId="9" hidden="1"/>
    <cellStyle name="Followed Hyperlink" xfId="1539" builtinId="9" hidden="1"/>
    <cellStyle name="Followed Hyperlink" xfId="1540" builtinId="9" hidden="1"/>
    <cellStyle name="Followed Hyperlink" xfId="1541" builtinId="9" hidden="1"/>
    <cellStyle name="Followed Hyperlink" xfId="1542" builtinId="9" hidden="1"/>
    <cellStyle name="Followed Hyperlink" xfId="1543" builtinId="9" hidden="1"/>
    <cellStyle name="Followed Hyperlink" xfId="1544" builtinId="9" hidden="1"/>
    <cellStyle name="Followed Hyperlink" xfId="1545" builtinId="9" hidden="1"/>
    <cellStyle name="Followed Hyperlink" xfId="1546" builtinId="9" hidden="1"/>
    <cellStyle name="Followed Hyperlink" xfId="1547" builtinId="9" hidden="1"/>
    <cellStyle name="Followed Hyperlink" xfId="1548" builtinId="9" hidden="1"/>
    <cellStyle name="Followed Hyperlink" xfId="1549" builtinId="9" hidden="1"/>
    <cellStyle name="Followed Hyperlink" xfId="1550" builtinId="9" hidden="1"/>
    <cellStyle name="Followed Hyperlink" xfId="1551" builtinId="9" hidden="1"/>
    <cellStyle name="Followed Hyperlink" xfId="1552" builtinId="9" hidden="1"/>
    <cellStyle name="Followed Hyperlink" xfId="1553" builtinId="9" hidden="1"/>
    <cellStyle name="Followed Hyperlink" xfId="1554" builtinId="9" hidden="1"/>
    <cellStyle name="Followed Hyperlink" xfId="1555" builtinId="9" hidden="1"/>
    <cellStyle name="Followed Hyperlink" xfId="1556" builtinId="9" hidden="1"/>
    <cellStyle name="Followed Hyperlink" xfId="1557" builtinId="9" hidden="1"/>
    <cellStyle name="Followed Hyperlink" xfId="1558" builtinId="9" hidden="1"/>
    <cellStyle name="Followed Hyperlink" xfId="1559" builtinId="9" hidden="1"/>
    <cellStyle name="Followed Hyperlink" xfId="1560" builtinId="9" hidden="1"/>
    <cellStyle name="Followed Hyperlink" xfId="1561" builtinId="9" hidden="1"/>
    <cellStyle name="Followed Hyperlink" xfId="1562" builtinId="9" hidden="1"/>
    <cellStyle name="Followed Hyperlink" xfId="1563" builtinId="9" hidden="1"/>
    <cellStyle name="Followed Hyperlink" xfId="1564" builtinId="9" hidden="1"/>
    <cellStyle name="Followed Hyperlink" xfId="1565" builtinId="9" hidden="1"/>
    <cellStyle name="Followed Hyperlink" xfId="1566" builtinId="9" hidden="1"/>
    <cellStyle name="Followed Hyperlink" xfId="1567" builtinId="9" hidden="1"/>
    <cellStyle name="Followed Hyperlink" xfId="1568" builtinId="9" hidden="1"/>
    <cellStyle name="Followed Hyperlink" xfId="1569" builtinId="9" hidden="1"/>
    <cellStyle name="Followed Hyperlink" xfId="1570" builtinId="9" hidden="1"/>
    <cellStyle name="Followed Hyperlink" xfId="1571" builtinId="9" hidden="1"/>
    <cellStyle name="Followed Hyperlink" xfId="1572" builtinId="9" hidden="1"/>
    <cellStyle name="Followed Hyperlink" xfId="1573" builtinId="9" hidden="1"/>
    <cellStyle name="Followed Hyperlink" xfId="1574" builtinId="9" hidden="1"/>
    <cellStyle name="Followed Hyperlink" xfId="1575" builtinId="9" hidden="1"/>
    <cellStyle name="Followed Hyperlink" xfId="1576" builtinId="9" hidden="1"/>
    <cellStyle name="Followed Hyperlink" xfId="1577" builtinId="9" hidden="1"/>
    <cellStyle name="Followed Hyperlink" xfId="1578" builtinId="9" hidden="1"/>
    <cellStyle name="Followed Hyperlink" xfId="1579" builtinId="9" hidden="1"/>
    <cellStyle name="Followed Hyperlink" xfId="1580" builtinId="9" hidden="1"/>
    <cellStyle name="Followed Hyperlink" xfId="1581" builtinId="9" hidden="1"/>
    <cellStyle name="Followed Hyperlink" xfId="1582" builtinId="9" hidden="1"/>
    <cellStyle name="Followed Hyperlink" xfId="1583" builtinId="9" hidden="1"/>
    <cellStyle name="Followed Hyperlink" xfId="1584" builtinId="9" hidden="1"/>
    <cellStyle name="Followed Hyperlink" xfId="1585" builtinId="9" hidden="1"/>
    <cellStyle name="Followed Hyperlink" xfId="1586" builtinId="9" hidden="1"/>
    <cellStyle name="Followed Hyperlink" xfId="1587" builtinId="9" hidden="1"/>
    <cellStyle name="Followed Hyperlink" xfId="1588" builtinId="9" hidden="1"/>
    <cellStyle name="Followed Hyperlink" xfId="1589" builtinId="9" hidden="1"/>
    <cellStyle name="Followed Hyperlink" xfId="1590" builtinId="9" hidden="1"/>
    <cellStyle name="Followed Hyperlink" xfId="1591" builtinId="9" hidden="1"/>
    <cellStyle name="Followed Hyperlink" xfId="1592" builtinId="9" hidden="1"/>
    <cellStyle name="Followed Hyperlink" xfId="1593" builtinId="9" hidden="1"/>
    <cellStyle name="Followed Hyperlink" xfId="1594" builtinId="9" hidden="1"/>
    <cellStyle name="Followed Hyperlink" xfId="1595" builtinId="9" hidden="1"/>
    <cellStyle name="Followed Hyperlink" xfId="1596" builtinId="9" hidden="1"/>
    <cellStyle name="Followed Hyperlink" xfId="1597" builtinId="9" hidden="1"/>
    <cellStyle name="Followed Hyperlink" xfId="1598" builtinId="9" hidden="1"/>
    <cellStyle name="Followed Hyperlink" xfId="1599" builtinId="9" hidden="1"/>
    <cellStyle name="Followed Hyperlink" xfId="1600" builtinId="9" hidden="1"/>
    <cellStyle name="Followed Hyperlink" xfId="1601" builtinId="9" hidden="1"/>
    <cellStyle name="Followed Hyperlink" xfId="1602" builtinId="9" hidden="1"/>
    <cellStyle name="Followed Hyperlink" xfId="1603" builtinId="9" hidden="1"/>
    <cellStyle name="Followed Hyperlink" xfId="1604" builtinId="9" hidden="1"/>
    <cellStyle name="Followed Hyperlink" xfId="1605" builtinId="9" hidden="1"/>
    <cellStyle name="Followed Hyperlink" xfId="1606" builtinId="9" hidden="1"/>
    <cellStyle name="Followed Hyperlink" xfId="1607" builtinId="9" hidden="1"/>
    <cellStyle name="Followed Hyperlink" xfId="1608" builtinId="9" hidden="1"/>
    <cellStyle name="Followed Hyperlink" xfId="1609" builtinId="9" hidden="1"/>
    <cellStyle name="Followed Hyperlink" xfId="1610" builtinId="9" hidden="1"/>
    <cellStyle name="Followed Hyperlink" xfId="1611" builtinId="9" hidden="1"/>
    <cellStyle name="Followed Hyperlink" xfId="1612" builtinId="9" hidden="1"/>
    <cellStyle name="Followed Hyperlink" xfId="1613" builtinId="9" hidden="1"/>
    <cellStyle name="Followed Hyperlink" xfId="1614" builtinId="9" hidden="1"/>
    <cellStyle name="Followed Hyperlink" xfId="1615" builtinId="9" hidden="1"/>
    <cellStyle name="Followed Hyperlink" xfId="1616" builtinId="9" hidden="1"/>
    <cellStyle name="Followed Hyperlink" xfId="1617" builtinId="9" hidden="1"/>
    <cellStyle name="Followed Hyperlink" xfId="1618" builtinId="9" hidden="1"/>
    <cellStyle name="Followed Hyperlink" xfId="1619" builtinId="9" hidden="1"/>
    <cellStyle name="Followed Hyperlink" xfId="1620" builtinId="9" hidden="1"/>
    <cellStyle name="Followed Hyperlink" xfId="1621" builtinId="9" hidden="1"/>
    <cellStyle name="Followed Hyperlink" xfId="1622" builtinId="9" hidden="1"/>
    <cellStyle name="Followed Hyperlink" xfId="1623" builtinId="9" hidden="1"/>
    <cellStyle name="Followed Hyperlink" xfId="1624" builtinId="9" hidden="1"/>
    <cellStyle name="Followed Hyperlink" xfId="1625" builtinId="9" hidden="1"/>
    <cellStyle name="Followed Hyperlink" xfId="1626" builtinId="9" hidden="1"/>
    <cellStyle name="Followed Hyperlink" xfId="1627" builtinId="9" hidden="1"/>
    <cellStyle name="Followed Hyperlink" xfId="1628" builtinId="9" hidden="1"/>
    <cellStyle name="Followed Hyperlink" xfId="1629" builtinId="9" hidden="1"/>
    <cellStyle name="Followed Hyperlink" xfId="1630" builtinId="9" hidden="1"/>
    <cellStyle name="Followed Hyperlink" xfId="1631" builtinId="9" hidden="1"/>
    <cellStyle name="Followed Hyperlink" xfId="1632" builtinId="9" hidden="1"/>
    <cellStyle name="Followed Hyperlink" xfId="1633" builtinId="9" hidden="1"/>
    <cellStyle name="Followed Hyperlink" xfId="1634" builtinId="9" hidden="1"/>
    <cellStyle name="Followed Hyperlink" xfId="1635" builtinId="9" hidden="1"/>
    <cellStyle name="Followed Hyperlink" xfId="1636" builtinId="9" hidden="1"/>
    <cellStyle name="Followed Hyperlink" xfId="1637" builtinId="9" hidden="1"/>
    <cellStyle name="Followed Hyperlink" xfId="1638" builtinId="9" hidden="1"/>
    <cellStyle name="Followed Hyperlink" xfId="1639" builtinId="9" hidden="1"/>
    <cellStyle name="Followed Hyperlink" xfId="1640" builtinId="9" hidden="1"/>
    <cellStyle name="Followed Hyperlink" xfId="1641" builtinId="9" hidden="1"/>
    <cellStyle name="Followed Hyperlink" xfId="1642" builtinId="9" hidden="1"/>
    <cellStyle name="Followed Hyperlink" xfId="1643" builtinId="9" hidden="1"/>
    <cellStyle name="Followed Hyperlink" xfId="1644" builtinId="9" hidden="1"/>
    <cellStyle name="Followed Hyperlink" xfId="1645" builtinId="9" hidden="1"/>
    <cellStyle name="Followed Hyperlink" xfId="1646" builtinId="9" hidden="1"/>
    <cellStyle name="Followed Hyperlink" xfId="1647" builtinId="9" hidden="1"/>
    <cellStyle name="Followed Hyperlink" xfId="1648" builtinId="9" hidden="1"/>
    <cellStyle name="Followed Hyperlink" xfId="1649" builtinId="9" hidden="1"/>
    <cellStyle name="Followed Hyperlink" xfId="1650" builtinId="9" hidden="1"/>
    <cellStyle name="Followed Hyperlink" xfId="1651" builtinId="9" hidden="1"/>
    <cellStyle name="Followed Hyperlink" xfId="1652" builtinId="9" hidden="1"/>
    <cellStyle name="Followed Hyperlink" xfId="1653" builtinId="9" hidden="1"/>
    <cellStyle name="Followed Hyperlink" xfId="1654" builtinId="9" hidden="1"/>
    <cellStyle name="Followed Hyperlink" xfId="1655" builtinId="9" hidden="1"/>
    <cellStyle name="Followed Hyperlink" xfId="1656" builtinId="9" hidden="1"/>
    <cellStyle name="Followed Hyperlink" xfId="1657" builtinId="9" hidden="1"/>
    <cellStyle name="Followed Hyperlink" xfId="1658" builtinId="9" hidden="1"/>
    <cellStyle name="Followed Hyperlink" xfId="1659" builtinId="9" hidden="1"/>
    <cellStyle name="Followed Hyperlink" xfId="1660" builtinId="9" hidden="1"/>
    <cellStyle name="Followed Hyperlink" xfId="1661" builtinId="9" hidden="1"/>
    <cellStyle name="Followed Hyperlink" xfId="1662" builtinId="9" hidden="1"/>
    <cellStyle name="Followed Hyperlink" xfId="1663" builtinId="9" hidden="1"/>
    <cellStyle name="Followed Hyperlink" xfId="1664" builtinId="9" hidden="1"/>
    <cellStyle name="Followed Hyperlink" xfId="1665" builtinId="9" hidden="1"/>
    <cellStyle name="Followed Hyperlink" xfId="1666" builtinId="9" hidden="1"/>
    <cellStyle name="Followed Hyperlink" xfId="1667" builtinId="9" hidden="1"/>
    <cellStyle name="Followed Hyperlink" xfId="1668" builtinId="9" hidden="1"/>
    <cellStyle name="Followed Hyperlink" xfId="1669" builtinId="9" hidden="1"/>
    <cellStyle name="Followed Hyperlink" xfId="1670" builtinId="9" hidden="1"/>
    <cellStyle name="Followed Hyperlink" xfId="1671" builtinId="9" hidden="1"/>
    <cellStyle name="Followed Hyperlink" xfId="1672" builtinId="9" hidden="1"/>
    <cellStyle name="Followed Hyperlink" xfId="1673" builtinId="9" hidden="1"/>
    <cellStyle name="Followed Hyperlink" xfId="1674" builtinId="9" hidden="1"/>
    <cellStyle name="Followed Hyperlink" xfId="1675" builtinId="9" hidden="1"/>
    <cellStyle name="Followed Hyperlink" xfId="1676" builtinId="9" hidden="1"/>
    <cellStyle name="Followed Hyperlink" xfId="1677" builtinId="9" hidden="1"/>
    <cellStyle name="Followed Hyperlink" xfId="1678" builtinId="9" hidden="1"/>
    <cellStyle name="Followed Hyperlink" xfId="1679" builtinId="9" hidden="1"/>
    <cellStyle name="Followed Hyperlink" xfId="1680" builtinId="9" hidden="1"/>
    <cellStyle name="Followed Hyperlink" xfId="1681" builtinId="9" hidden="1"/>
    <cellStyle name="Followed Hyperlink" xfId="1682" builtinId="9" hidden="1"/>
    <cellStyle name="Followed Hyperlink" xfId="1683" builtinId="9" hidden="1"/>
    <cellStyle name="Followed Hyperlink" xfId="1684" builtinId="9" hidden="1"/>
    <cellStyle name="Followed Hyperlink" xfId="1685" builtinId="9" hidden="1"/>
    <cellStyle name="Followed Hyperlink" xfId="1686" builtinId="9" hidden="1"/>
    <cellStyle name="Followed Hyperlink" xfId="1687" builtinId="9" hidden="1"/>
    <cellStyle name="Followed Hyperlink" xfId="1688" builtinId="9" hidden="1"/>
    <cellStyle name="Followed Hyperlink" xfId="1689" builtinId="9" hidden="1"/>
    <cellStyle name="Followed Hyperlink" xfId="1690" builtinId="9" hidden="1"/>
    <cellStyle name="Followed Hyperlink" xfId="1691" builtinId="9" hidden="1"/>
    <cellStyle name="Followed Hyperlink" xfId="1692" builtinId="9" hidden="1"/>
    <cellStyle name="Followed Hyperlink" xfId="1693" builtinId="9" hidden="1"/>
    <cellStyle name="Followed Hyperlink" xfId="1694" builtinId="9" hidden="1"/>
    <cellStyle name="Followed Hyperlink" xfId="1695" builtinId="9" hidden="1"/>
    <cellStyle name="Followed Hyperlink" xfId="1696" builtinId="9" hidden="1"/>
    <cellStyle name="Followed Hyperlink" xfId="1697" builtinId="9" hidden="1"/>
    <cellStyle name="Followed Hyperlink" xfId="1698" builtinId="9" hidden="1"/>
    <cellStyle name="Followed Hyperlink" xfId="1699" builtinId="9" hidden="1"/>
    <cellStyle name="Followed Hyperlink" xfId="1700" builtinId="9" hidden="1"/>
    <cellStyle name="Followed Hyperlink" xfId="1701" builtinId="9" hidden="1"/>
    <cellStyle name="Followed Hyperlink" xfId="1702" builtinId="9" hidden="1"/>
    <cellStyle name="Followed Hyperlink" xfId="1703" builtinId="9" hidden="1"/>
    <cellStyle name="Followed Hyperlink" xfId="1704" builtinId="9" hidden="1"/>
    <cellStyle name="Followed Hyperlink" xfId="1705" builtinId="9" hidden="1"/>
    <cellStyle name="Followed Hyperlink" xfId="1706" builtinId="9" hidden="1"/>
    <cellStyle name="Followed Hyperlink" xfId="1707" builtinId="9" hidden="1"/>
    <cellStyle name="Followed Hyperlink" xfId="1708" builtinId="9" hidden="1"/>
    <cellStyle name="Followed Hyperlink" xfId="1709" builtinId="9" hidden="1"/>
    <cellStyle name="Followed Hyperlink" xfId="1710" builtinId="9" hidden="1"/>
    <cellStyle name="Followed Hyperlink" xfId="1711" builtinId="9" hidden="1"/>
    <cellStyle name="Followed Hyperlink" xfId="1712" builtinId="9" hidden="1"/>
    <cellStyle name="Followed Hyperlink" xfId="1713" builtinId="9" hidden="1"/>
    <cellStyle name="Followed Hyperlink" xfId="1714" builtinId="9" hidden="1"/>
    <cellStyle name="Followed Hyperlink" xfId="1715" builtinId="9" hidden="1"/>
    <cellStyle name="Followed Hyperlink" xfId="1716" builtinId="9" hidden="1"/>
    <cellStyle name="Followed Hyperlink" xfId="1717" builtinId="9" hidden="1"/>
    <cellStyle name="Followed Hyperlink" xfId="1718" builtinId="9" hidden="1"/>
    <cellStyle name="Followed Hyperlink" xfId="1719" builtinId="9" hidden="1"/>
    <cellStyle name="Followed Hyperlink" xfId="1720" builtinId="9" hidden="1"/>
    <cellStyle name="Followed Hyperlink" xfId="1721" builtinId="9" hidden="1"/>
    <cellStyle name="Followed Hyperlink" xfId="1722" builtinId="9" hidden="1"/>
    <cellStyle name="Followed Hyperlink" xfId="1723" builtinId="9" hidden="1"/>
    <cellStyle name="Followed Hyperlink" xfId="1724" builtinId="9" hidden="1"/>
    <cellStyle name="Followed Hyperlink" xfId="1725" builtinId="9" hidden="1"/>
    <cellStyle name="Followed Hyperlink" xfId="1726" builtinId="9" hidden="1"/>
    <cellStyle name="Followed Hyperlink" xfId="1727" builtinId="9" hidden="1"/>
    <cellStyle name="Followed Hyperlink" xfId="1728" builtinId="9" hidden="1"/>
    <cellStyle name="Followed Hyperlink" xfId="1729" builtinId="9" hidden="1"/>
    <cellStyle name="Followed Hyperlink" xfId="1730" builtinId="9" hidden="1"/>
    <cellStyle name="Followed Hyperlink" xfId="1731" builtinId="9" hidden="1"/>
    <cellStyle name="Followed Hyperlink" xfId="1732" builtinId="9" hidden="1"/>
    <cellStyle name="Followed Hyperlink" xfId="1733" builtinId="9" hidden="1"/>
    <cellStyle name="Followed Hyperlink" xfId="1734" builtinId="9" hidden="1"/>
    <cellStyle name="Followed Hyperlink" xfId="1735" builtinId="9" hidden="1"/>
    <cellStyle name="Followed Hyperlink" xfId="1736" builtinId="9" hidden="1"/>
    <cellStyle name="Followed Hyperlink" xfId="1737" builtinId="9" hidden="1"/>
    <cellStyle name="Followed Hyperlink" xfId="1738" builtinId="9" hidden="1"/>
    <cellStyle name="Followed Hyperlink" xfId="1739" builtinId="9" hidden="1"/>
    <cellStyle name="Followed Hyperlink" xfId="1740" builtinId="9" hidden="1"/>
    <cellStyle name="Followed Hyperlink" xfId="1741" builtinId="9" hidden="1"/>
    <cellStyle name="Followed Hyperlink" xfId="1742" builtinId="9" hidden="1"/>
    <cellStyle name="Followed Hyperlink" xfId="1743" builtinId="9" hidden="1"/>
    <cellStyle name="Followed Hyperlink" xfId="1744" builtinId="9" hidden="1"/>
    <cellStyle name="Followed Hyperlink" xfId="1745" builtinId="9" hidden="1"/>
    <cellStyle name="Followed Hyperlink" xfId="1746" builtinId="9" hidden="1"/>
    <cellStyle name="Followed Hyperlink" xfId="1747" builtinId="9" hidden="1"/>
    <cellStyle name="Followed Hyperlink" xfId="1748" builtinId="9" hidden="1"/>
    <cellStyle name="Followed Hyperlink" xfId="1749" builtinId="9" hidden="1"/>
    <cellStyle name="Followed Hyperlink" xfId="1750" builtinId="9" hidden="1"/>
    <cellStyle name="Followed Hyperlink" xfId="1751" builtinId="9" hidden="1"/>
    <cellStyle name="Followed Hyperlink" xfId="1752" builtinId="9" hidden="1"/>
    <cellStyle name="Followed Hyperlink" xfId="1753" builtinId="9" hidden="1"/>
    <cellStyle name="Followed Hyperlink" xfId="1754" builtinId="9" hidden="1"/>
    <cellStyle name="Followed Hyperlink" xfId="1755" builtinId="9" hidden="1"/>
    <cellStyle name="Followed Hyperlink" xfId="1756" builtinId="9" hidden="1"/>
    <cellStyle name="Followed Hyperlink" xfId="1757" builtinId="9" hidden="1"/>
    <cellStyle name="Followed Hyperlink" xfId="1758" builtinId="9" hidden="1"/>
    <cellStyle name="Followed Hyperlink" xfId="1759" builtinId="9" hidden="1"/>
    <cellStyle name="Followed Hyperlink" xfId="1760" builtinId="9" hidden="1"/>
    <cellStyle name="Followed Hyperlink" xfId="1761" builtinId="9" hidden="1"/>
    <cellStyle name="Followed Hyperlink" xfId="1762" builtinId="9" hidden="1"/>
    <cellStyle name="Followed Hyperlink" xfId="1763" builtinId="9" hidden="1"/>
    <cellStyle name="Followed Hyperlink" xfId="1764" builtinId="9" hidden="1"/>
    <cellStyle name="Followed Hyperlink" xfId="1765" builtinId="9" hidden="1"/>
    <cellStyle name="Followed Hyperlink" xfId="1766" builtinId="9" hidden="1"/>
    <cellStyle name="Followed Hyperlink" xfId="1767" builtinId="9" hidden="1"/>
    <cellStyle name="Followed Hyperlink" xfId="1768" builtinId="9" hidden="1"/>
    <cellStyle name="Followed Hyperlink" xfId="1769" builtinId="9" hidden="1"/>
    <cellStyle name="Followed Hyperlink" xfId="1770" builtinId="9" hidden="1"/>
    <cellStyle name="Followed Hyperlink" xfId="1771" builtinId="9" hidden="1"/>
    <cellStyle name="Followed Hyperlink" xfId="1772" builtinId="9" hidden="1"/>
    <cellStyle name="Followed Hyperlink" xfId="1773" builtinId="9" hidden="1"/>
    <cellStyle name="Followed Hyperlink" xfId="1774" builtinId="9" hidden="1"/>
    <cellStyle name="Followed Hyperlink" xfId="1775" builtinId="9" hidden="1"/>
    <cellStyle name="Followed Hyperlink" xfId="1776" builtinId="9" hidden="1"/>
    <cellStyle name="Followed Hyperlink" xfId="1777" builtinId="9" hidden="1"/>
    <cellStyle name="Followed Hyperlink" xfId="1778" builtinId="9" hidden="1"/>
    <cellStyle name="Followed Hyperlink" xfId="1779" builtinId="9" hidden="1"/>
    <cellStyle name="Followed Hyperlink" xfId="1780" builtinId="9" hidden="1"/>
    <cellStyle name="Followed Hyperlink" xfId="1781" builtinId="9" hidden="1"/>
    <cellStyle name="Followed Hyperlink" xfId="1782" builtinId="9" hidden="1"/>
    <cellStyle name="Followed Hyperlink" xfId="1783" builtinId="9" hidden="1"/>
    <cellStyle name="Followed Hyperlink" xfId="1784" builtinId="9" hidden="1"/>
    <cellStyle name="Followed Hyperlink" xfId="1785" builtinId="9" hidden="1"/>
    <cellStyle name="Followed Hyperlink" xfId="1786" builtinId="9" hidden="1"/>
    <cellStyle name="Followed Hyperlink" xfId="1787" builtinId="9" hidden="1"/>
    <cellStyle name="Followed Hyperlink" xfId="1788" builtinId="9" hidden="1"/>
    <cellStyle name="Followed Hyperlink" xfId="1789" builtinId="9" hidden="1"/>
    <cellStyle name="Followed Hyperlink" xfId="1790" builtinId="9" hidden="1"/>
    <cellStyle name="Followed Hyperlink" xfId="1791" builtinId="9" hidden="1"/>
    <cellStyle name="Followed Hyperlink" xfId="1792" builtinId="9" hidden="1"/>
    <cellStyle name="Followed Hyperlink" xfId="1793" builtinId="9" hidden="1"/>
    <cellStyle name="Followed Hyperlink" xfId="1794" builtinId="9" hidden="1"/>
    <cellStyle name="Followed Hyperlink" xfId="1795" builtinId="9" hidden="1"/>
    <cellStyle name="Followed Hyperlink" xfId="1796" builtinId="9" hidden="1"/>
    <cellStyle name="Followed Hyperlink" xfId="1797" builtinId="9" hidden="1"/>
    <cellStyle name="Followed Hyperlink" xfId="1798" builtinId="9" hidden="1"/>
    <cellStyle name="Followed Hyperlink" xfId="1799" builtinId="9" hidden="1"/>
    <cellStyle name="Followed Hyperlink" xfId="1800" builtinId="9" hidden="1"/>
    <cellStyle name="Followed Hyperlink" xfId="1801" builtinId="9" hidden="1"/>
    <cellStyle name="Followed Hyperlink" xfId="1802" builtinId="9" hidden="1"/>
    <cellStyle name="Followed Hyperlink" xfId="1803" builtinId="9" hidden="1"/>
    <cellStyle name="Followed Hyperlink" xfId="1804" builtinId="9" hidden="1"/>
    <cellStyle name="Followed Hyperlink" xfId="1805" builtinId="9" hidden="1"/>
    <cellStyle name="Followed Hyperlink" xfId="1806" builtinId="9" hidden="1"/>
    <cellStyle name="Followed Hyperlink" xfId="1807" builtinId="9" hidden="1"/>
    <cellStyle name="Followed Hyperlink" xfId="1808" builtinId="9" hidden="1"/>
    <cellStyle name="Followed Hyperlink" xfId="1809" builtinId="9" hidden="1"/>
    <cellStyle name="Followed Hyperlink" xfId="1810" builtinId="9" hidden="1"/>
    <cellStyle name="Followed Hyperlink" xfId="1811" builtinId="9" hidden="1"/>
    <cellStyle name="Followed Hyperlink" xfId="1812" builtinId="9" hidden="1"/>
    <cellStyle name="Followed Hyperlink" xfId="1813" builtinId="9" hidden="1"/>
    <cellStyle name="Followed Hyperlink" xfId="1814" builtinId="9" hidden="1"/>
    <cellStyle name="Followed Hyperlink" xfId="1815" builtinId="9" hidden="1"/>
    <cellStyle name="Followed Hyperlink" xfId="1816" builtinId="9" hidden="1"/>
    <cellStyle name="Followed Hyperlink" xfId="1817" builtinId="9" hidden="1"/>
    <cellStyle name="Followed Hyperlink" xfId="1818" builtinId="9" hidden="1"/>
    <cellStyle name="Followed Hyperlink" xfId="1819" builtinId="9" hidden="1"/>
    <cellStyle name="Followed Hyperlink" xfId="1820" builtinId="9" hidden="1"/>
    <cellStyle name="Followed Hyperlink" xfId="1821" builtinId="9" hidden="1"/>
    <cellStyle name="Followed Hyperlink" xfId="1822" builtinId="9" hidden="1"/>
    <cellStyle name="Followed Hyperlink" xfId="1823" builtinId="9" hidden="1"/>
    <cellStyle name="Followed Hyperlink" xfId="1824" builtinId="9" hidden="1"/>
    <cellStyle name="Followed Hyperlink" xfId="1825" builtinId="9" hidden="1"/>
    <cellStyle name="Followed Hyperlink" xfId="1826" builtinId="9" hidden="1"/>
    <cellStyle name="Followed Hyperlink" xfId="1827" builtinId="9" hidden="1"/>
    <cellStyle name="Followed Hyperlink" xfId="1828" builtinId="9" hidden="1"/>
    <cellStyle name="Followed Hyperlink" xfId="1829" builtinId="9" hidden="1"/>
    <cellStyle name="Followed Hyperlink" xfId="1830" builtinId="9" hidden="1"/>
    <cellStyle name="Followed Hyperlink" xfId="1831" builtinId="9" hidden="1"/>
    <cellStyle name="Followed Hyperlink" xfId="1832" builtinId="9" hidden="1"/>
    <cellStyle name="Followed Hyperlink" xfId="1833" builtinId="9" hidden="1"/>
    <cellStyle name="Followed Hyperlink" xfId="1834" builtinId="9" hidden="1"/>
    <cellStyle name="Followed Hyperlink" xfId="1835" builtinId="9" hidden="1"/>
    <cellStyle name="Followed Hyperlink" xfId="1836" builtinId="9" hidden="1"/>
    <cellStyle name="Followed Hyperlink" xfId="1837" builtinId="9" hidden="1"/>
    <cellStyle name="Followed Hyperlink" xfId="1838" builtinId="9" hidden="1"/>
    <cellStyle name="Followed Hyperlink" xfId="1839" builtinId="9" hidden="1"/>
    <cellStyle name="Followed Hyperlink" xfId="1840" builtinId="9" hidden="1"/>
    <cellStyle name="Followed Hyperlink" xfId="1841" builtinId="9" hidden="1"/>
    <cellStyle name="Followed Hyperlink" xfId="1842" builtinId="9" hidden="1"/>
    <cellStyle name="Followed Hyperlink" xfId="1843" builtinId="9" hidden="1"/>
    <cellStyle name="Followed Hyperlink" xfId="1844" builtinId="9" hidden="1"/>
    <cellStyle name="Followed Hyperlink" xfId="1845" builtinId="9" hidden="1"/>
    <cellStyle name="Followed Hyperlink" xfId="1846" builtinId="9" hidden="1"/>
    <cellStyle name="Followed Hyperlink" xfId="1847" builtinId="9" hidden="1"/>
    <cellStyle name="Followed Hyperlink" xfId="1848" builtinId="9" hidden="1"/>
    <cellStyle name="Followed Hyperlink" xfId="1849" builtinId="9" hidden="1"/>
    <cellStyle name="Followed Hyperlink" xfId="1850" builtinId="9" hidden="1"/>
    <cellStyle name="Followed Hyperlink" xfId="1851" builtinId="9" hidden="1"/>
    <cellStyle name="Followed Hyperlink" xfId="1852" builtinId="9" hidden="1"/>
    <cellStyle name="Followed Hyperlink" xfId="1853" builtinId="9" hidden="1"/>
    <cellStyle name="Followed Hyperlink" xfId="1854" builtinId="9" hidden="1"/>
    <cellStyle name="Followed Hyperlink" xfId="1855" builtinId="9" hidden="1"/>
    <cellStyle name="Followed Hyperlink" xfId="1856" builtinId="9" hidden="1"/>
    <cellStyle name="Followed Hyperlink" xfId="1857" builtinId="9" hidden="1"/>
    <cellStyle name="Followed Hyperlink" xfId="1858" builtinId="9" hidden="1"/>
    <cellStyle name="Followed Hyperlink" xfId="1859" builtinId="9" hidden="1"/>
    <cellStyle name="Followed Hyperlink" xfId="1860" builtinId="9" hidden="1"/>
    <cellStyle name="Followed Hyperlink" xfId="1861" builtinId="9" hidden="1"/>
    <cellStyle name="Followed Hyperlink" xfId="1862" builtinId="9" hidden="1"/>
    <cellStyle name="Followed Hyperlink" xfId="1863" builtinId="9" hidden="1"/>
    <cellStyle name="Followed Hyperlink" xfId="1864" builtinId="9" hidden="1"/>
    <cellStyle name="Followed Hyperlink" xfId="1865" builtinId="9" hidden="1"/>
    <cellStyle name="Followed Hyperlink" xfId="1866" builtinId="9" hidden="1"/>
    <cellStyle name="Followed Hyperlink" xfId="1867" builtinId="9" hidden="1"/>
    <cellStyle name="Followed Hyperlink" xfId="1868" builtinId="9" hidden="1"/>
    <cellStyle name="Followed Hyperlink" xfId="1869" builtinId="9" hidden="1"/>
    <cellStyle name="Followed Hyperlink" xfId="1870" builtinId="9" hidden="1"/>
    <cellStyle name="Followed Hyperlink" xfId="1871" builtinId="9" hidden="1"/>
    <cellStyle name="Followed Hyperlink" xfId="1872" builtinId="9" hidden="1"/>
    <cellStyle name="Followed Hyperlink" xfId="1873" builtinId="9" hidden="1"/>
    <cellStyle name="Followed Hyperlink" xfId="1874" builtinId="9" hidden="1"/>
    <cellStyle name="Followed Hyperlink" xfId="1875" builtinId="9" hidden="1"/>
    <cellStyle name="Followed Hyperlink" xfId="1876" builtinId="9" hidden="1"/>
    <cellStyle name="Followed Hyperlink" xfId="1877" builtinId="9" hidden="1"/>
    <cellStyle name="Followed Hyperlink" xfId="1878" builtinId="9" hidden="1"/>
    <cellStyle name="Followed Hyperlink" xfId="1879" builtinId="9" hidden="1"/>
    <cellStyle name="Followed Hyperlink" xfId="1880" builtinId="9" hidden="1"/>
    <cellStyle name="Followed Hyperlink" xfId="1881" builtinId="9" hidden="1"/>
    <cellStyle name="Followed Hyperlink" xfId="1882" builtinId="9" hidden="1"/>
    <cellStyle name="Followed Hyperlink" xfId="1883" builtinId="9" hidden="1"/>
    <cellStyle name="Followed Hyperlink" xfId="1884" builtinId="9" hidden="1"/>
    <cellStyle name="Followed Hyperlink" xfId="1885" builtinId="9" hidden="1"/>
    <cellStyle name="Followed Hyperlink" xfId="1886" builtinId="9" hidden="1"/>
    <cellStyle name="Followed Hyperlink" xfId="1887" builtinId="9" hidden="1"/>
    <cellStyle name="Followed Hyperlink" xfId="1888" builtinId="9" hidden="1"/>
    <cellStyle name="Followed Hyperlink" xfId="1889" builtinId="9" hidden="1"/>
    <cellStyle name="Followed Hyperlink" xfId="1890" builtinId="9" hidden="1"/>
    <cellStyle name="Followed Hyperlink" xfId="1891" builtinId="9" hidden="1"/>
    <cellStyle name="Followed Hyperlink" xfId="1892" builtinId="9" hidden="1"/>
    <cellStyle name="Followed Hyperlink" xfId="1893" builtinId="9" hidden="1"/>
    <cellStyle name="Followed Hyperlink" xfId="1894" builtinId="9" hidden="1"/>
    <cellStyle name="Followed Hyperlink" xfId="1895" builtinId="9" hidden="1"/>
    <cellStyle name="Followed Hyperlink" xfId="1896" builtinId="9" hidden="1"/>
    <cellStyle name="Followed Hyperlink" xfId="1897" builtinId="9" hidden="1"/>
    <cellStyle name="Followed Hyperlink" xfId="1898" builtinId="9" hidden="1"/>
    <cellStyle name="Followed Hyperlink" xfId="1899" builtinId="9" hidden="1"/>
    <cellStyle name="Followed Hyperlink" xfId="1900" builtinId="9" hidden="1"/>
    <cellStyle name="Followed Hyperlink" xfId="1901" builtinId="9" hidden="1"/>
    <cellStyle name="Followed Hyperlink" xfId="1902" builtinId="9" hidden="1"/>
    <cellStyle name="Followed Hyperlink" xfId="1903" builtinId="9" hidden="1"/>
    <cellStyle name="Followed Hyperlink" xfId="1904" builtinId="9" hidden="1"/>
    <cellStyle name="Followed Hyperlink" xfId="1905" builtinId="9" hidden="1"/>
    <cellStyle name="Followed Hyperlink" xfId="1906" builtinId="9" hidden="1"/>
    <cellStyle name="Followed Hyperlink" xfId="1907" builtinId="9" hidden="1"/>
    <cellStyle name="Followed Hyperlink" xfId="1908" builtinId="9" hidden="1"/>
    <cellStyle name="Followed Hyperlink" xfId="1909" builtinId="9" hidden="1"/>
    <cellStyle name="Followed Hyperlink" xfId="1910" builtinId="9" hidden="1"/>
    <cellStyle name="Followed Hyperlink" xfId="1911" builtinId="9" hidden="1"/>
    <cellStyle name="Followed Hyperlink" xfId="1912" builtinId="9" hidden="1"/>
    <cellStyle name="Followed Hyperlink" xfId="1913" builtinId="9" hidden="1"/>
    <cellStyle name="Followed Hyperlink" xfId="1914" builtinId="9" hidden="1"/>
    <cellStyle name="Followed Hyperlink" xfId="1915" builtinId="9" hidden="1"/>
    <cellStyle name="Followed Hyperlink" xfId="1916" builtinId="9" hidden="1"/>
    <cellStyle name="Followed Hyperlink" xfId="1917" builtinId="9" hidden="1"/>
    <cellStyle name="Followed Hyperlink" xfId="1918" builtinId="9" hidden="1"/>
    <cellStyle name="Followed Hyperlink" xfId="1919" builtinId="9" hidden="1"/>
    <cellStyle name="Followed Hyperlink" xfId="1920" builtinId="9" hidden="1"/>
    <cellStyle name="Followed Hyperlink" xfId="1921" builtinId="9" hidden="1"/>
    <cellStyle name="Followed Hyperlink" xfId="1922" builtinId="9" hidden="1"/>
    <cellStyle name="Followed Hyperlink" xfId="1923" builtinId="9" hidden="1"/>
    <cellStyle name="Followed Hyperlink" xfId="1924" builtinId="9" hidden="1"/>
    <cellStyle name="Followed Hyperlink" xfId="1925" builtinId="9" hidden="1"/>
    <cellStyle name="Followed Hyperlink" xfId="1926" builtinId="9" hidden="1"/>
    <cellStyle name="Followed Hyperlink" xfId="1927" builtinId="9" hidden="1"/>
    <cellStyle name="Followed Hyperlink" xfId="1928" builtinId="9" hidden="1"/>
    <cellStyle name="Followed Hyperlink" xfId="1929" builtinId="9" hidden="1"/>
    <cellStyle name="Followed Hyperlink" xfId="1930" builtinId="9" hidden="1"/>
    <cellStyle name="Followed Hyperlink" xfId="1931" builtinId="9" hidden="1"/>
    <cellStyle name="Followed Hyperlink" xfId="1932" builtinId="9" hidden="1"/>
    <cellStyle name="Followed Hyperlink" xfId="1933" builtinId="9" hidden="1"/>
    <cellStyle name="Followed Hyperlink" xfId="1934" builtinId="9" hidden="1"/>
    <cellStyle name="Followed Hyperlink" xfId="1935" builtinId="9" hidden="1"/>
    <cellStyle name="Followed Hyperlink" xfId="1936" builtinId="9" hidden="1"/>
    <cellStyle name="Followed Hyperlink" xfId="1937" builtinId="9" hidden="1"/>
    <cellStyle name="Followed Hyperlink" xfId="1938" builtinId="9" hidden="1"/>
    <cellStyle name="Followed Hyperlink" xfId="1939" builtinId="9" hidden="1"/>
    <cellStyle name="Followed Hyperlink" xfId="1940" builtinId="9" hidden="1"/>
    <cellStyle name="Followed Hyperlink" xfId="1941" builtinId="9" hidden="1"/>
    <cellStyle name="Followed Hyperlink" xfId="1942" builtinId="9" hidden="1"/>
    <cellStyle name="Followed Hyperlink" xfId="1943" builtinId="9" hidden="1"/>
    <cellStyle name="Followed Hyperlink" xfId="1944" builtinId="9" hidden="1"/>
    <cellStyle name="Followed Hyperlink" xfId="1945" builtinId="9" hidden="1"/>
    <cellStyle name="Followed Hyperlink" xfId="1946" builtinId="9" hidden="1"/>
    <cellStyle name="Followed Hyperlink" xfId="1947" builtinId="9" hidden="1"/>
    <cellStyle name="Followed Hyperlink" xfId="1948" builtinId="9" hidden="1"/>
    <cellStyle name="Followed Hyperlink" xfId="1949" builtinId="9" hidden="1"/>
    <cellStyle name="Followed Hyperlink" xfId="1950" builtinId="9" hidden="1"/>
    <cellStyle name="Followed Hyperlink" xfId="1951" builtinId="9" hidden="1"/>
    <cellStyle name="Followed Hyperlink" xfId="1952" builtinId="9" hidden="1"/>
    <cellStyle name="Followed Hyperlink" xfId="1953" builtinId="9" hidden="1"/>
    <cellStyle name="Followed Hyperlink" xfId="1954" builtinId="9" hidden="1"/>
    <cellStyle name="Followed Hyperlink" xfId="1955" builtinId="9" hidden="1"/>
    <cellStyle name="Followed Hyperlink" xfId="1956" builtinId="9" hidden="1"/>
    <cellStyle name="Followed Hyperlink" xfId="1957" builtinId="9" hidden="1"/>
    <cellStyle name="Followed Hyperlink" xfId="1958" builtinId="9" hidden="1"/>
    <cellStyle name="Followed Hyperlink" xfId="1959" builtinId="9" hidden="1"/>
    <cellStyle name="Followed Hyperlink" xfId="1960" builtinId="9" hidden="1"/>
    <cellStyle name="Followed Hyperlink" xfId="1961" builtinId="9" hidden="1"/>
    <cellStyle name="Followed Hyperlink" xfId="1962" builtinId="9" hidden="1"/>
    <cellStyle name="Followed Hyperlink" xfId="1963" builtinId="9" hidden="1"/>
    <cellStyle name="Followed Hyperlink" xfId="1964" builtinId="9" hidden="1"/>
    <cellStyle name="Followed Hyperlink" xfId="1965" builtinId="9" hidden="1"/>
    <cellStyle name="Followed Hyperlink" xfId="1966" builtinId="9" hidden="1"/>
    <cellStyle name="Followed Hyperlink" xfId="1967" builtinId="9" hidden="1"/>
    <cellStyle name="Followed Hyperlink" xfId="1968" builtinId="9" hidden="1"/>
    <cellStyle name="Followed Hyperlink" xfId="1969" builtinId="9" hidden="1"/>
    <cellStyle name="Followed Hyperlink" xfId="1970" builtinId="9" hidden="1"/>
    <cellStyle name="Followed Hyperlink" xfId="1971" builtinId="9" hidden="1"/>
    <cellStyle name="Followed Hyperlink" xfId="1972" builtinId="9" hidden="1"/>
    <cellStyle name="Followed Hyperlink" xfId="1973" builtinId="9" hidden="1"/>
    <cellStyle name="Followed Hyperlink" xfId="1974" builtinId="9" hidden="1"/>
    <cellStyle name="Followed Hyperlink" xfId="1975" builtinId="9" hidden="1"/>
    <cellStyle name="Followed Hyperlink" xfId="1976" builtinId="9" hidden="1"/>
    <cellStyle name="Followed Hyperlink" xfId="1977" builtinId="9" hidden="1"/>
    <cellStyle name="Followed Hyperlink" xfId="1978" builtinId="9" hidden="1"/>
    <cellStyle name="Followed Hyperlink" xfId="1979" builtinId="9" hidden="1"/>
    <cellStyle name="Followed Hyperlink" xfId="1980" builtinId="9" hidden="1"/>
    <cellStyle name="Followed Hyperlink" xfId="1981" builtinId="9" hidden="1"/>
    <cellStyle name="Followed Hyperlink" xfId="1982" builtinId="9" hidden="1"/>
    <cellStyle name="Followed Hyperlink" xfId="1983" builtinId="9" hidden="1"/>
    <cellStyle name="Followed Hyperlink" xfId="1984" builtinId="9" hidden="1"/>
    <cellStyle name="Followed Hyperlink" xfId="1985" builtinId="9" hidden="1"/>
    <cellStyle name="Followed Hyperlink" xfId="1986" builtinId="9" hidden="1"/>
    <cellStyle name="Followed Hyperlink" xfId="1987" builtinId="9" hidden="1"/>
    <cellStyle name="Followed Hyperlink" xfId="1988" builtinId="9" hidden="1"/>
    <cellStyle name="Followed Hyperlink" xfId="1989" builtinId="9" hidden="1"/>
    <cellStyle name="Followed Hyperlink" xfId="1990" builtinId="9" hidden="1"/>
    <cellStyle name="Followed Hyperlink" xfId="1991" builtinId="9" hidden="1"/>
    <cellStyle name="Followed Hyperlink" xfId="1992" builtinId="9" hidden="1"/>
    <cellStyle name="Followed Hyperlink" xfId="1993" builtinId="9" hidden="1"/>
    <cellStyle name="Followed Hyperlink" xfId="1994" builtinId="9" hidden="1"/>
    <cellStyle name="Followed Hyperlink" xfId="1995" builtinId="9" hidden="1"/>
    <cellStyle name="Followed Hyperlink" xfId="1996" builtinId="9" hidden="1"/>
    <cellStyle name="Followed Hyperlink" xfId="1997" builtinId="9" hidden="1"/>
    <cellStyle name="Followed Hyperlink" xfId="1998" builtinId="9" hidden="1"/>
    <cellStyle name="Followed Hyperlink" xfId="1999" builtinId="9" hidden="1"/>
    <cellStyle name="Followed Hyperlink" xfId="2000" builtinId="9" hidden="1"/>
    <cellStyle name="Followed Hyperlink" xfId="2001" builtinId="9" hidden="1"/>
    <cellStyle name="Followed Hyperlink" xfId="2002" builtinId="9" hidden="1"/>
    <cellStyle name="Followed Hyperlink" xfId="2003" builtinId="9" hidden="1"/>
    <cellStyle name="Followed Hyperlink" xfId="2004" builtinId="9" hidden="1"/>
    <cellStyle name="Followed Hyperlink" xfId="2005" builtinId="9" hidden="1"/>
    <cellStyle name="Followed Hyperlink" xfId="2006" builtinId="9" hidden="1"/>
    <cellStyle name="Followed Hyperlink" xfId="2007" builtinId="9" hidden="1"/>
    <cellStyle name="Followed Hyperlink" xfId="2008" builtinId="9" hidden="1"/>
    <cellStyle name="Followed Hyperlink" xfId="2009" builtinId="9" hidden="1"/>
    <cellStyle name="Followed Hyperlink" xfId="2010" builtinId="9" hidden="1"/>
    <cellStyle name="Followed Hyperlink" xfId="2011" builtinId="9" hidden="1"/>
    <cellStyle name="Followed Hyperlink" xfId="2012" builtinId="9" hidden="1"/>
    <cellStyle name="Followed Hyperlink" xfId="2013" builtinId="9" hidden="1"/>
    <cellStyle name="Followed Hyperlink" xfId="2014" builtinId="9" hidden="1"/>
    <cellStyle name="Followed Hyperlink" xfId="2015" builtinId="9" hidden="1"/>
    <cellStyle name="Followed Hyperlink" xfId="2016" builtinId="9" hidden="1"/>
    <cellStyle name="Followed Hyperlink" xfId="2017" builtinId="9" hidden="1"/>
    <cellStyle name="Followed Hyperlink" xfId="2018" builtinId="9" hidden="1"/>
    <cellStyle name="Followed Hyperlink" xfId="2019" builtinId="9" hidden="1"/>
    <cellStyle name="Followed Hyperlink" xfId="2020" builtinId="9" hidden="1"/>
    <cellStyle name="Followed Hyperlink" xfId="2021" builtinId="9" hidden="1"/>
    <cellStyle name="Followed Hyperlink" xfId="2022" builtinId="9" hidden="1"/>
    <cellStyle name="Followed Hyperlink" xfId="2023" builtinId="9" hidden="1"/>
    <cellStyle name="Followed Hyperlink" xfId="2024" builtinId="9" hidden="1"/>
    <cellStyle name="Followed Hyperlink" xfId="2025" builtinId="9" hidden="1"/>
    <cellStyle name="Followed Hyperlink" xfId="2026" builtinId="9" hidden="1"/>
    <cellStyle name="Followed Hyperlink" xfId="2027" builtinId="9" hidden="1"/>
    <cellStyle name="Followed Hyperlink" xfId="2028" builtinId="9" hidden="1"/>
    <cellStyle name="Followed Hyperlink" xfId="2029" builtinId="9" hidden="1"/>
    <cellStyle name="Followed Hyperlink" xfId="2030" builtinId="9" hidden="1"/>
    <cellStyle name="Followed Hyperlink" xfId="2031" builtinId="9" hidden="1"/>
    <cellStyle name="Followed Hyperlink" xfId="2032" builtinId="9" hidden="1"/>
    <cellStyle name="Followed Hyperlink" xfId="2033" builtinId="9" hidden="1"/>
    <cellStyle name="Followed Hyperlink" xfId="2034" builtinId="9" hidden="1"/>
    <cellStyle name="Followed Hyperlink" xfId="2035" builtinId="9" hidden="1"/>
    <cellStyle name="Followed Hyperlink" xfId="2036" builtinId="9" hidden="1"/>
    <cellStyle name="Followed Hyperlink" xfId="2037" builtinId="9" hidden="1"/>
    <cellStyle name="Followed Hyperlink" xfId="2038" builtinId="9" hidden="1"/>
    <cellStyle name="Followed Hyperlink" xfId="2039" builtinId="9" hidden="1"/>
    <cellStyle name="Followed Hyperlink" xfId="2040" builtinId="9" hidden="1"/>
    <cellStyle name="Followed Hyperlink" xfId="2041" builtinId="9" hidden="1"/>
    <cellStyle name="Followed Hyperlink" xfId="2042" builtinId="9" hidden="1"/>
    <cellStyle name="Followed Hyperlink" xfId="2043" builtinId="9" hidden="1"/>
    <cellStyle name="Followed Hyperlink" xfId="2044" builtinId="9" hidden="1"/>
    <cellStyle name="Followed Hyperlink" xfId="2045" builtinId="9" hidden="1"/>
    <cellStyle name="Followed Hyperlink" xfId="2046" builtinId="9" hidden="1"/>
    <cellStyle name="Followed Hyperlink" xfId="2047" builtinId="9" hidden="1"/>
    <cellStyle name="Followed Hyperlink" xfId="2048" builtinId="9" hidden="1"/>
    <cellStyle name="Followed Hyperlink" xfId="2049" builtinId="9" hidden="1"/>
    <cellStyle name="Followed Hyperlink" xfId="2050" builtinId="9" hidden="1"/>
    <cellStyle name="Followed Hyperlink" xfId="2051" builtinId="9" hidden="1"/>
    <cellStyle name="Followed Hyperlink" xfId="2052" builtinId="9" hidden="1"/>
    <cellStyle name="Followed Hyperlink" xfId="2053" builtinId="9" hidden="1"/>
    <cellStyle name="Followed Hyperlink" xfId="2054" builtinId="9" hidden="1"/>
    <cellStyle name="Followed Hyperlink" xfId="2055" builtinId="9" hidden="1"/>
    <cellStyle name="Followed Hyperlink" xfId="2056" builtinId="9" hidden="1"/>
    <cellStyle name="Followed Hyperlink" xfId="2057" builtinId="9" hidden="1"/>
    <cellStyle name="Followed Hyperlink" xfId="2058" builtinId="9" hidden="1"/>
    <cellStyle name="Followed Hyperlink" xfId="2059" builtinId="9" hidden="1"/>
    <cellStyle name="Followed Hyperlink" xfId="2060" builtinId="9" hidden="1"/>
    <cellStyle name="Followed Hyperlink" xfId="2061" builtinId="9" hidden="1"/>
    <cellStyle name="Followed Hyperlink" xfId="2062" builtinId="9" hidden="1"/>
    <cellStyle name="Followed Hyperlink" xfId="2063" builtinId="9" hidden="1"/>
    <cellStyle name="Followed Hyperlink" xfId="2064" builtinId="9" hidden="1"/>
    <cellStyle name="Followed Hyperlink" xfId="2065" builtinId="9" hidden="1"/>
    <cellStyle name="Followed Hyperlink" xfId="2066" builtinId="9" hidden="1"/>
    <cellStyle name="Followed Hyperlink" xfId="2067" builtinId="9" hidden="1"/>
    <cellStyle name="Followed Hyperlink" xfId="2068" builtinId="9" hidden="1"/>
    <cellStyle name="Followed Hyperlink" xfId="2069" builtinId="9" hidden="1"/>
    <cellStyle name="Followed Hyperlink" xfId="2070" builtinId="9" hidden="1"/>
    <cellStyle name="Followed Hyperlink" xfId="2071" builtinId="9" hidden="1"/>
    <cellStyle name="Followed Hyperlink" xfId="2072" builtinId="9" hidden="1"/>
    <cellStyle name="Followed Hyperlink" xfId="2073" builtinId="9" hidden="1"/>
    <cellStyle name="Followed Hyperlink" xfId="2074" builtinId="9" hidden="1"/>
    <cellStyle name="Followed Hyperlink" xfId="2075" builtinId="9" hidden="1"/>
    <cellStyle name="Followed Hyperlink" xfId="2076" builtinId="9" hidden="1"/>
    <cellStyle name="Followed Hyperlink" xfId="2077" builtinId="9" hidden="1"/>
    <cellStyle name="Followed Hyperlink" xfId="2078" builtinId="9" hidden="1"/>
    <cellStyle name="Followed Hyperlink" xfId="2079" builtinId="9" hidden="1"/>
    <cellStyle name="Followed Hyperlink" xfId="2080" builtinId="9" hidden="1"/>
    <cellStyle name="Followed Hyperlink" xfId="2081" builtinId="9" hidden="1"/>
    <cellStyle name="Followed Hyperlink" xfId="2082" builtinId="9" hidden="1"/>
    <cellStyle name="Followed Hyperlink" xfId="2083" builtinId="9" hidden="1"/>
    <cellStyle name="Followed Hyperlink" xfId="2084" builtinId="9" hidden="1"/>
    <cellStyle name="Followed Hyperlink" xfId="2085" builtinId="9" hidden="1"/>
    <cellStyle name="Followed Hyperlink" xfId="2086" builtinId="9" hidden="1"/>
    <cellStyle name="Followed Hyperlink" xfId="2087" builtinId="9" hidden="1"/>
    <cellStyle name="Followed Hyperlink" xfId="2088" builtinId="9" hidden="1"/>
    <cellStyle name="Followed Hyperlink" xfId="2089" builtinId="9" hidden="1"/>
    <cellStyle name="Followed Hyperlink" xfId="2090" builtinId="9" hidden="1"/>
    <cellStyle name="Followed Hyperlink" xfId="2091" builtinId="9" hidden="1"/>
    <cellStyle name="Followed Hyperlink" xfId="2092" builtinId="9" hidden="1"/>
    <cellStyle name="Followed Hyperlink" xfId="2093" builtinId="9" hidden="1"/>
    <cellStyle name="Followed Hyperlink" xfId="2094" builtinId="9" hidden="1"/>
    <cellStyle name="Followed Hyperlink" xfId="2095" builtinId="9" hidden="1"/>
    <cellStyle name="Followed Hyperlink" xfId="2096" builtinId="9" hidden="1"/>
    <cellStyle name="Followed Hyperlink" xfId="2097" builtinId="9" hidden="1"/>
    <cellStyle name="Followed Hyperlink" xfId="2098" builtinId="9" hidden="1"/>
    <cellStyle name="Followed Hyperlink" xfId="2099" builtinId="9" hidden="1"/>
    <cellStyle name="Followed Hyperlink" xfId="2100" builtinId="9" hidden="1"/>
    <cellStyle name="Followed Hyperlink" xfId="2101" builtinId="9" hidden="1"/>
    <cellStyle name="Followed Hyperlink" xfId="2102" builtinId="9" hidden="1"/>
    <cellStyle name="Followed Hyperlink" xfId="2103" builtinId="9" hidden="1"/>
    <cellStyle name="Followed Hyperlink" xfId="2104" builtinId="9" hidden="1"/>
    <cellStyle name="Followed Hyperlink" xfId="2105" builtinId="9" hidden="1"/>
    <cellStyle name="Followed Hyperlink" xfId="2106" builtinId="9" hidden="1"/>
    <cellStyle name="Followed Hyperlink" xfId="2107" builtinId="9" hidden="1"/>
    <cellStyle name="Followed Hyperlink" xfId="2108" builtinId="9" hidden="1"/>
    <cellStyle name="Followed Hyperlink" xfId="2109" builtinId="9" hidden="1"/>
    <cellStyle name="Followed Hyperlink" xfId="2110" builtinId="9" hidden="1"/>
    <cellStyle name="Followed Hyperlink" xfId="2111" builtinId="9" hidden="1"/>
    <cellStyle name="Followed Hyperlink" xfId="2112" builtinId="9" hidden="1"/>
    <cellStyle name="Followed Hyperlink" xfId="2113" builtinId="9" hidden="1"/>
    <cellStyle name="Followed Hyperlink" xfId="2114" builtinId="9" hidden="1"/>
    <cellStyle name="Followed Hyperlink" xfId="2115" builtinId="9" hidden="1"/>
    <cellStyle name="Followed Hyperlink" xfId="2116" builtinId="9" hidden="1"/>
    <cellStyle name="Followed Hyperlink" xfId="2117" builtinId="9" hidden="1"/>
    <cellStyle name="Followed Hyperlink" xfId="2118" builtinId="9" hidden="1"/>
    <cellStyle name="Followed Hyperlink" xfId="2119" builtinId="9" hidden="1"/>
    <cellStyle name="Followed Hyperlink" xfId="2120" builtinId="9" hidden="1"/>
    <cellStyle name="Followed Hyperlink" xfId="2121" builtinId="9" hidden="1"/>
    <cellStyle name="Followed Hyperlink" xfId="2122" builtinId="9" hidden="1"/>
    <cellStyle name="Followed Hyperlink" xfId="2123" builtinId="9" hidden="1"/>
    <cellStyle name="Followed Hyperlink" xfId="2124" builtinId="9" hidden="1"/>
    <cellStyle name="Followed Hyperlink" xfId="2125" builtinId="9" hidden="1"/>
    <cellStyle name="Followed Hyperlink" xfId="2126" builtinId="9" hidden="1"/>
    <cellStyle name="Followed Hyperlink" xfId="2127" builtinId="9" hidden="1"/>
    <cellStyle name="Followed Hyperlink" xfId="2128" builtinId="9" hidden="1"/>
    <cellStyle name="Followed Hyperlink" xfId="2129" builtinId="9" hidden="1"/>
    <cellStyle name="Followed Hyperlink" xfId="2130" builtinId="9" hidden="1"/>
    <cellStyle name="Followed Hyperlink" xfId="2131" builtinId="9" hidden="1"/>
    <cellStyle name="Followed Hyperlink" xfId="2132" builtinId="9" hidden="1"/>
    <cellStyle name="Followed Hyperlink" xfId="2133" builtinId="9" hidden="1"/>
    <cellStyle name="Followed Hyperlink" xfId="2134" builtinId="9" hidden="1"/>
    <cellStyle name="Followed Hyperlink" xfId="2135" builtinId="9" hidden="1"/>
    <cellStyle name="Followed Hyperlink" xfId="2136" builtinId="9" hidden="1"/>
    <cellStyle name="Followed Hyperlink" xfId="2137" builtinId="9" hidden="1"/>
    <cellStyle name="Followed Hyperlink" xfId="2138" builtinId="9" hidden="1"/>
    <cellStyle name="Followed Hyperlink" xfId="2139" builtinId="9" hidden="1"/>
    <cellStyle name="Followed Hyperlink" xfId="2140" builtinId="9" hidden="1"/>
    <cellStyle name="Followed Hyperlink" xfId="2141" builtinId="9" hidden="1"/>
    <cellStyle name="Followed Hyperlink" xfId="2142" builtinId="9" hidden="1"/>
    <cellStyle name="Followed Hyperlink" xfId="2143" builtinId="9" hidden="1"/>
    <cellStyle name="Followed Hyperlink" xfId="2144" builtinId="9" hidden="1"/>
    <cellStyle name="Followed Hyperlink" xfId="2145" builtinId="9" hidden="1"/>
    <cellStyle name="Followed Hyperlink" xfId="2146" builtinId="9" hidden="1"/>
    <cellStyle name="Followed Hyperlink" xfId="2147" builtinId="9" hidden="1"/>
    <cellStyle name="Followed Hyperlink" xfId="2148" builtinId="9" hidden="1"/>
    <cellStyle name="Followed Hyperlink" xfId="2149" builtinId="9" hidden="1"/>
    <cellStyle name="Followed Hyperlink" xfId="2150" builtinId="9" hidden="1"/>
    <cellStyle name="Followed Hyperlink" xfId="2151" builtinId="9" hidden="1"/>
    <cellStyle name="Followed Hyperlink" xfId="2152" builtinId="9" hidden="1"/>
    <cellStyle name="Followed Hyperlink" xfId="2153" builtinId="9" hidden="1"/>
    <cellStyle name="Followed Hyperlink" xfId="2154" builtinId="9" hidden="1"/>
    <cellStyle name="Followed Hyperlink" xfId="2155" builtinId="9" hidden="1"/>
    <cellStyle name="Followed Hyperlink" xfId="2156" builtinId="9" hidden="1"/>
    <cellStyle name="Followed Hyperlink" xfId="2157" builtinId="9" hidden="1"/>
    <cellStyle name="Followed Hyperlink" xfId="2158" builtinId="9" hidden="1"/>
    <cellStyle name="Good" xfId="2163" builtinId="26" customBuiltin="1"/>
    <cellStyle name="Heading 1" xfId="2159" builtinId="16" customBuiltin="1"/>
    <cellStyle name="Heading 2" xfId="2160" builtinId="17" customBuiltin="1"/>
    <cellStyle name="Heading 3" xfId="2161" builtinId="18" customBuiltin="1"/>
    <cellStyle name="Heading 4" xfId="2162" builtinId="19" customBuilti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cellStyle name="Hyperlink 2" xfId="2199"/>
    <cellStyle name="Input" xfId="160" builtinId="20"/>
    <cellStyle name="Input 2" xfId="2197"/>
    <cellStyle name="Linked Cell" xfId="2167" builtinId="24" customBuiltin="1"/>
    <cellStyle name="Neutral" xfId="2165" builtinId="28" customBuiltin="1"/>
    <cellStyle name="Normal" xfId="0" builtinId="0"/>
    <cellStyle name="Normal 2" xfId="824"/>
    <cellStyle name="Normal 3" xfId="1332"/>
    <cellStyle name="Note" xfId="162" builtinId="10" customBuiltin="1"/>
    <cellStyle name="Note 2" xfId="1333"/>
    <cellStyle name="Output" xfId="2166" builtinId="21" customBuiltin="1"/>
    <cellStyle name="Percent" xfId="2" builtinId="5"/>
    <cellStyle name="Percent 2" xfId="2201"/>
    <cellStyle name="Title 2" xfId="2196"/>
    <cellStyle name="Total" xfId="2171" builtinId="25" customBuiltin="1"/>
    <cellStyle name="Warning Text" xfId="2169" builtinId="11" customBuiltin="1"/>
  </cellStyles>
  <dxfs count="860">
    <dxf>
      <font>
        <b val="0"/>
        <i val="0"/>
        <strike val="0"/>
        <condense val="0"/>
        <extend val="0"/>
        <outline val="0"/>
        <shadow val="0"/>
        <u val="none"/>
        <vertAlign val="baseline"/>
        <sz val="10"/>
        <color rgb="FF000000"/>
        <name val="Calibri"/>
        <scheme val="minor"/>
      </font>
      <numFmt numFmtId="13" formatCode="0%"/>
      <alignment horizontal="center" vertical="center" textRotation="0" wrapText="0" indent="0" justifyLastLine="0" shrinkToFit="0" readingOrder="0"/>
      <border diagonalUp="0" diagonalDown="0">
        <left/>
        <right/>
        <top style="thin">
          <color theme="3"/>
        </top>
        <bottom style="thin">
          <color theme="3"/>
        </bottom>
      </border>
      <protection locked="0" hidden="1"/>
    </dxf>
    <dxf>
      <font>
        <b val="0"/>
        <i val="0"/>
        <strike val="0"/>
        <condense val="0"/>
        <extend val="0"/>
        <outline val="0"/>
        <shadow val="0"/>
        <u val="none"/>
        <vertAlign val="baseline"/>
        <sz val="10"/>
        <color theme="1"/>
        <name val="Calibri"/>
        <scheme val="minor"/>
      </font>
      <numFmt numFmtId="13" formatCode="0%"/>
      <alignment horizontal="center" vertical="center" textRotation="0" wrapText="0" indent="0" justifyLastLine="0" shrinkToFit="0" readingOrder="0"/>
      <border diagonalUp="0" diagonalDown="0">
        <left/>
        <right/>
        <top style="thin">
          <color theme="3"/>
        </top>
        <bottom style="thin">
          <color theme="3"/>
        </bottom>
      </border>
      <protection locked="0" hidden="1"/>
    </dxf>
    <dxf>
      <font>
        <strike val="0"/>
        <outline val="0"/>
        <shadow val="0"/>
        <u val="none"/>
        <vertAlign val="baseline"/>
        <sz val="9"/>
        <name val="Calibri"/>
        <scheme val="minor"/>
      </font>
      <protection locked="1" hidden="1"/>
    </dxf>
    <dxf>
      <font>
        <b/>
        <i val="0"/>
        <strike val="0"/>
        <condense val="0"/>
        <extend val="0"/>
        <outline val="0"/>
        <shadow val="0"/>
        <u val="none"/>
        <vertAlign val="baseline"/>
        <sz val="9"/>
        <color theme="0"/>
        <name val="Calibri"/>
        <scheme val="minor"/>
      </font>
      <fill>
        <patternFill patternType="solid">
          <fgColor theme="4"/>
          <bgColor theme="4"/>
        </patternFill>
      </fill>
      <alignment horizontal="center" vertical="bottom" textRotation="0" wrapText="1" indent="0" justifyLastLine="0" shrinkToFit="0" readingOrder="0"/>
      <border diagonalUp="0" diagonalDown="0" outline="0">
        <left style="thin">
          <color auto="1"/>
        </left>
        <right style="thin">
          <color auto="1"/>
        </right>
        <top/>
        <bottom/>
      </border>
      <protection locked="1" hidden="1"/>
    </dxf>
    <dxf>
      <font>
        <strike val="0"/>
        <outline val="0"/>
        <shadow val="0"/>
        <u val="none"/>
        <vertAlign val="baseline"/>
        <sz val="9"/>
        <color rgb="FF000000"/>
        <name val="Calibri"/>
        <scheme val="minor"/>
      </font>
      <numFmt numFmtId="9" formatCode="&quot;$&quot;#,##0_);\(&quot;$&quot;#,##0\)"/>
      <alignment horizontal="center" vertical="center" textRotation="0" wrapText="1" indent="0" justifyLastLine="0" shrinkToFit="0" readingOrder="0"/>
      <protection locked="1" hidden="1"/>
    </dxf>
    <dxf>
      <font>
        <b val="0"/>
        <i val="0"/>
        <strike val="0"/>
        <condense val="0"/>
        <extend val="0"/>
        <outline val="0"/>
        <shadow val="0"/>
        <u val="none"/>
        <vertAlign val="baseline"/>
        <sz val="9"/>
        <color rgb="FF000000"/>
        <name val="Calibri"/>
        <scheme val="minor"/>
      </font>
      <numFmt numFmtId="9" formatCode="&quot;$&quot;#,##0_);\(&quot;$&quot;#,##0\)"/>
      <fill>
        <patternFill patternType="solid">
          <fgColor indexed="64"/>
          <bgColor rgb="FFFFFF00"/>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9"/>
        <color rgb="FF000000"/>
        <name val="Calibri"/>
        <scheme val="minor"/>
      </font>
      <numFmt numFmtId="9" formatCode="&quot;$&quot;#,##0_);\(&quot;$&quot;#,##0\)"/>
      <fill>
        <patternFill patternType="solid">
          <fgColor indexed="64"/>
          <bgColor rgb="FFFFFF00"/>
        </patternFill>
      </fill>
      <alignment horizontal="center" vertical="center" textRotation="0" wrapText="1" indent="0" justifyLastLine="0" shrinkToFit="0" readingOrder="0"/>
    </dxf>
    <dxf>
      <font>
        <b val="0"/>
        <i val="0"/>
        <strike val="0"/>
        <condense val="0"/>
        <extend val="0"/>
        <outline val="0"/>
        <shadow val="0"/>
        <u val="none"/>
        <vertAlign val="baseline"/>
        <sz val="9"/>
        <color rgb="FF000000"/>
        <name val="Calibri"/>
        <scheme val="minor"/>
      </font>
      <numFmt numFmtId="9" formatCode="&quot;$&quot;#,##0_);\(&quot;$&quot;#,##0\)"/>
      <alignment horizontal="center" vertical="center" textRotation="0" wrapText="1" indent="0" justifyLastLine="0" shrinkToFit="0" readingOrder="0"/>
      <protection locked="1" hidden="1"/>
    </dxf>
    <dxf>
      <font>
        <strike val="0"/>
        <outline val="0"/>
        <shadow val="0"/>
        <u val="none"/>
        <vertAlign val="baseline"/>
        <sz val="9"/>
        <color rgb="FF000000"/>
        <name val="Calibri"/>
        <scheme val="minor"/>
      </font>
      <numFmt numFmtId="9" formatCode="&quot;$&quot;#,##0_);\(&quot;$&quot;#,##0\)"/>
      <alignment horizontal="center" vertical="center" textRotation="0" wrapText="1" indent="0" justifyLastLine="0" shrinkToFit="0" readingOrder="0"/>
      <protection locked="1" hidden="1"/>
    </dxf>
    <dxf>
      <font>
        <strike val="0"/>
        <outline val="0"/>
        <shadow val="0"/>
        <u val="none"/>
        <vertAlign val="baseline"/>
        <sz val="9"/>
        <color rgb="FF000000"/>
        <name val="Calibri"/>
        <scheme val="minor"/>
      </font>
      <numFmt numFmtId="9" formatCode="&quot;$&quot;#,##0_);\(&quot;$&quot;#,##0\)"/>
      <alignment horizontal="center" vertical="center" textRotation="0" wrapText="1" indent="0" justifyLastLine="0" shrinkToFit="0" readingOrder="0"/>
      <protection locked="1" hidden="1"/>
    </dxf>
    <dxf>
      <font>
        <b val="0"/>
        <i val="0"/>
        <strike val="0"/>
        <condense val="0"/>
        <extend val="0"/>
        <outline val="0"/>
        <shadow val="0"/>
        <u val="none"/>
        <vertAlign val="baseline"/>
        <sz val="9"/>
        <color rgb="FF000000"/>
        <name val="Calibri"/>
        <scheme val="minor"/>
      </font>
      <alignment horizontal="justify" vertical="center" textRotation="0" wrapText="1" indent="0" justifyLastLine="0" shrinkToFit="0" readingOrder="0"/>
      <protection locked="1" hidden="1"/>
    </dxf>
    <dxf>
      <font>
        <b val="0"/>
        <i val="0"/>
        <strike val="0"/>
        <condense val="0"/>
        <extend val="0"/>
        <outline val="0"/>
        <shadow val="0"/>
        <u val="none"/>
        <vertAlign val="baseline"/>
        <sz val="9"/>
        <color rgb="FF000000"/>
        <name val="Calibri"/>
        <scheme val="minor"/>
      </font>
      <alignment horizontal="justify" vertical="center" textRotation="0" wrapText="1" indent="0" justifyLastLine="0" shrinkToFit="0" readingOrder="0"/>
      <protection locked="1" hidden="1"/>
    </dxf>
    <dxf>
      <font>
        <strike val="0"/>
        <outline val="0"/>
        <shadow val="0"/>
        <u val="none"/>
        <vertAlign val="baseline"/>
        <sz val="9"/>
        <name val="Calibri"/>
        <scheme val="minor"/>
      </font>
      <protection locked="1" hidden="1"/>
    </dxf>
    <dxf>
      <font>
        <b/>
        <i val="0"/>
        <strike val="0"/>
        <condense val="0"/>
        <extend val="0"/>
        <outline val="0"/>
        <shadow val="0"/>
        <u val="none"/>
        <vertAlign val="baseline"/>
        <sz val="9"/>
        <color theme="0"/>
        <name val="Calibri"/>
        <scheme val="minor"/>
      </font>
      <fill>
        <patternFill patternType="solid">
          <fgColor theme="4"/>
          <bgColor theme="4"/>
        </patternFill>
      </fill>
      <alignment horizontal="center" vertical="bottom" textRotation="0" wrapText="1" indent="0" justifyLastLine="0" shrinkToFit="0" readingOrder="0"/>
      <border diagonalUp="0" diagonalDown="0" outline="0">
        <left style="thin">
          <color theme="3"/>
        </left>
        <right style="thin">
          <color theme="3"/>
        </right>
        <top/>
        <bottom/>
      </border>
      <protection locked="1" hidden="1"/>
    </dxf>
    <dxf>
      <font>
        <strike val="0"/>
        <outline val="0"/>
        <shadow val="0"/>
        <u val="none"/>
        <vertAlign val="baseline"/>
        <sz val="9"/>
        <name val="Calibri"/>
        <scheme val="minor"/>
      </font>
      <alignment horizontal="center" textRotation="0" indent="0" justifyLastLine="0" shrinkToFit="0" readingOrder="0"/>
      <protection locked="1" hidden="1"/>
    </dxf>
    <dxf>
      <font>
        <strike val="0"/>
        <outline val="0"/>
        <shadow val="0"/>
        <u val="none"/>
        <vertAlign val="baseline"/>
        <sz val="9"/>
        <name val="Calibri"/>
        <scheme val="minor"/>
      </font>
      <alignment horizontal="center" textRotation="0" indent="0" justifyLastLine="0" shrinkToFit="0" readingOrder="0"/>
      <protection locked="1" hidden="1"/>
    </dxf>
    <dxf>
      <font>
        <strike val="0"/>
        <outline val="0"/>
        <shadow val="0"/>
        <u val="none"/>
        <vertAlign val="baseline"/>
        <sz val="9"/>
        <name val="Calibri"/>
        <scheme val="minor"/>
      </font>
      <alignment horizontal="center" textRotation="0" indent="0" justifyLastLine="0" shrinkToFit="0" readingOrder="0"/>
      <protection locked="1" hidden="1"/>
    </dxf>
    <dxf>
      <font>
        <strike val="0"/>
        <outline val="0"/>
        <shadow val="0"/>
        <u val="none"/>
        <vertAlign val="baseline"/>
        <sz val="9"/>
        <name val="Calibri"/>
        <scheme val="minor"/>
      </font>
      <alignment horizontal="center" vertical="bottom" textRotation="0" indent="0" justifyLastLine="0" shrinkToFit="0" readingOrder="0"/>
      <protection locked="1" hidden="1"/>
    </dxf>
    <dxf>
      <font>
        <strike val="0"/>
        <outline val="0"/>
        <shadow val="0"/>
        <u val="none"/>
        <vertAlign val="baseline"/>
        <sz val="9"/>
        <name val="Calibri"/>
        <scheme val="minor"/>
      </font>
      <alignment horizontal="center" textRotation="0" indent="0" justifyLastLine="0" shrinkToFit="0" readingOrder="0"/>
      <protection locked="1" hidden="1"/>
    </dxf>
    <dxf>
      <font>
        <strike val="0"/>
        <outline val="0"/>
        <shadow val="0"/>
        <u val="none"/>
        <vertAlign val="baseline"/>
        <sz val="9"/>
        <name val="Calibri"/>
        <scheme val="minor"/>
      </font>
      <alignment horizontal="center" vertical="bottom" textRotation="0" indent="0" justifyLastLine="0" shrinkToFit="0" readingOrder="0"/>
      <protection locked="1" hidden="1"/>
    </dxf>
    <dxf>
      <font>
        <b val="0"/>
        <i val="0"/>
        <strike val="0"/>
        <condense val="0"/>
        <extend val="0"/>
        <outline val="0"/>
        <shadow val="0"/>
        <u val="none"/>
        <vertAlign val="baseline"/>
        <sz val="9"/>
        <color rgb="FF000000"/>
        <name val="Calibri"/>
        <scheme val="minor"/>
      </font>
      <fill>
        <patternFill patternType="none">
          <fgColor indexed="64"/>
          <bgColor indexed="65"/>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9"/>
        <color theme="1"/>
        <name val="Calibri"/>
        <scheme val="minor"/>
      </font>
      <fill>
        <patternFill patternType="none">
          <fgColor indexed="64"/>
          <bgColor indexed="65"/>
        </patternFill>
      </fill>
      <alignment horizontal="left" vertical="center" textRotation="0" wrapText="1" indent="0" justifyLastLine="0" shrinkToFit="0" readingOrder="0"/>
      <protection locked="1" hidden="1"/>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ndense val="0"/>
        <extend val="0"/>
        <color rgb="FF9C0006"/>
      </font>
    </dxf>
    <dxf>
      <font>
        <condense val="0"/>
        <extend val="0"/>
        <color rgb="FF9C0006"/>
      </font>
    </dxf>
    <dxf>
      <font>
        <condense val="0"/>
        <extend val="0"/>
        <color rgb="FF9C0006"/>
      </font>
    </dxf>
    <dxf>
      <font>
        <condense val="0"/>
        <extend val="0"/>
        <color rgb="FF9C0006"/>
      </font>
    </dxf>
    <dxf>
      <font>
        <color theme="5" tint="-0.24994659260841701"/>
      </font>
    </dxf>
    <dxf>
      <font>
        <condense val="0"/>
        <extend val="0"/>
        <color rgb="FF9C0006"/>
      </font>
    </dxf>
    <dxf>
      <font>
        <condense val="0"/>
        <extend val="0"/>
        <color rgb="FF9C0006"/>
      </font>
    </dxf>
    <dxf>
      <font>
        <condense val="0"/>
        <extend val="0"/>
        <color rgb="FF9C0006"/>
      </font>
    </dxf>
    <dxf>
      <font>
        <color theme="5" tint="-0.24994659260841701"/>
      </font>
    </dxf>
    <dxf>
      <font>
        <condense val="0"/>
        <extend val="0"/>
        <color rgb="FF9C0006"/>
      </font>
    </dxf>
    <dxf>
      <font>
        <color theme="5" tint="-0.24994659260841701"/>
      </font>
    </dxf>
    <dxf>
      <font>
        <color theme="5" tint="-0.24994659260841701"/>
      </font>
    </dxf>
    <dxf>
      <font>
        <color theme="5" tint="-0.24994659260841701"/>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lor theme="5" tint="-0.24994659260841701"/>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ndense val="0"/>
        <extend val="0"/>
        <color rgb="FF9C0006"/>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ndense val="0"/>
        <extend val="0"/>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dxf>
    <dxf>
      <font>
        <color rgb="FF9C0006"/>
      </font>
      <fill>
        <patternFill>
          <bgColor rgb="FFFFC7CE"/>
        </patternFill>
      </fill>
    </dxf>
    <dxf>
      <font>
        <color rgb="FF9C0006"/>
      </font>
      <fill>
        <patternFill>
          <bgColor rgb="FFFFC7CE"/>
        </patternFill>
      </fill>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ndense val="0"/>
        <extend val="0"/>
        <color rgb="FF9C0006"/>
      </font>
    </dxf>
    <dxf>
      <font>
        <condense val="0"/>
        <extend val="0"/>
        <color rgb="FF9C0006"/>
      </font>
    </dxf>
    <dxf>
      <font>
        <condense val="0"/>
        <extend val="0"/>
        <color rgb="FF9C0006"/>
      </font>
    </dxf>
    <dxf>
      <font>
        <condense val="0"/>
        <extend val="0"/>
        <color rgb="FF9C0006"/>
      </font>
    </dxf>
    <dxf>
      <font>
        <color theme="5" tint="-0.24994659260841701"/>
      </font>
    </dxf>
    <dxf>
      <font>
        <condense val="0"/>
        <extend val="0"/>
        <color rgb="FF9C0006"/>
      </font>
    </dxf>
    <dxf>
      <font>
        <color theme="5" tint="-0.24994659260841701"/>
      </font>
    </dxf>
    <dxf>
      <font>
        <condense val="0"/>
        <extend val="0"/>
        <color rgb="FF9C0006"/>
      </font>
    </dxf>
    <dxf>
      <font>
        <condense val="0"/>
        <extend val="0"/>
        <color rgb="FF9C0006"/>
      </font>
    </dxf>
    <dxf>
      <font>
        <color theme="5" tint="-0.24994659260841701"/>
      </font>
    </dxf>
    <dxf>
      <font>
        <condense val="0"/>
        <extend val="0"/>
        <color rgb="FF9C0006"/>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ndense val="0"/>
        <extend val="0"/>
        <color rgb="FF9C0006"/>
      </font>
    </dxf>
    <dxf>
      <font>
        <condense val="0"/>
        <extend val="0"/>
        <color rgb="FF9C0006"/>
      </font>
    </dxf>
    <dxf>
      <font>
        <condense val="0"/>
        <extend val="0"/>
        <color rgb="FF9C0006"/>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ndense val="0"/>
        <extend val="0"/>
        <color rgb="FF9C0006"/>
      </font>
    </dxf>
    <dxf>
      <font>
        <condense val="0"/>
        <extend val="0"/>
        <color rgb="FF9C0006"/>
      </font>
    </dxf>
    <dxf>
      <font>
        <color theme="5" tint="-0.24994659260841701"/>
      </font>
    </dxf>
    <dxf>
      <font>
        <condense val="0"/>
        <extend val="0"/>
        <color rgb="FF9C0006"/>
      </font>
    </dxf>
    <dxf>
      <font>
        <color theme="5" tint="-0.24994659260841701"/>
      </font>
    </dxf>
    <dxf>
      <font>
        <condense val="0"/>
        <extend val="0"/>
        <color rgb="FF9C0006"/>
      </font>
    </dxf>
    <dxf>
      <font>
        <condense val="0"/>
        <extend val="0"/>
        <color rgb="FF9C0006"/>
      </font>
    </dxf>
    <dxf>
      <font>
        <condense val="0"/>
        <extend val="0"/>
        <color rgb="FF9C0006"/>
      </font>
    </dxf>
    <dxf>
      <font>
        <color theme="5" tint="-0.24994659260841701"/>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theme="6"/>
        </patternFill>
      </fill>
    </dxf>
    <dxf>
      <font>
        <color rgb="FF9C0006"/>
      </font>
      <fill>
        <patternFill>
          <bgColor rgb="FFFFC7CE"/>
        </patternFill>
      </fill>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rgb="FF9C0006"/>
      </font>
      <fill>
        <patternFill>
          <bgColor rgb="FFFFC7CE"/>
        </patternFill>
      </fill>
    </dxf>
    <dxf>
      <font>
        <color rgb="FFFF0000"/>
      </font>
    </dxf>
    <dxf>
      <font>
        <color rgb="FFFF0000"/>
      </font>
    </dxf>
    <dxf>
      <font>
        <color rgb="FFFF0000"/>
      </font>
    </dxf>
    <dxf>
      <font>
        <color rgb="FFFF0000"/>
      </font>
    </dxf>
    <dxf>
      <font>
        <color rgb="FFFF0000"/>
      </font>
    </dxf>
    <dxf>
      <font>
        <color theme="5" tint="-0.24994659260841701"/>
      </font>
    </dxf>
    <dxf>
      <font>
        <color rgb="FFFF0000"/>
      </font>
    </dxf>
    <dxf>
      <font>
        <b val="0"/>
        <i val="0"/>
        <strike val="0"/>
        <condense val="0"/>
        <extend val="0"/>
        <outline val="0"/>
        <shadow val="0"/>
        <u val="none"/>
        <vertAlign val="baseline"/>
        <sz val="10"/>
        <color rgb="FF000000"/>
        <name val="Calibri"/>
        <scheme val="minor"/>
      </font>
      <numFmt numFmtId="13" formatCode="0%"/>
      <alignment horizontal="center" vertical="center" textRotation="0" wrapText="0" indent="0" justifyLastLine="0" shrinkToFit="0" readingOrder="0"/>
      <border diagonalUp="0" diagonalDown="0">
        <left/>
        <right/>
        <top style="thin">
          <color theme="3"/>
        </top>
        <bottom style="thin">
          <color theme="3"/>
        </bottom>
      </border>
      <protection locked="1" hidden="1"/>
    </dxf>
    <dxf>
      <font>
        <b val="0"/>
        <i val="0"/>
        <strike val="0"/>
        <condense val="0"/>
        <extend val="0"/>
        <outline val="0"/>
        <shadow val="0"/>
        <u val="none"/>
        <vertAlign val="baseline"/>
        <sz val="10"/>
        <color theme="1"/>
        <name val="Calibri"/>
        <scheme val="minor"/>
      </font>
      <numFmt numFmtId="13" formatCode="0%"/>
      <alignment horizontal="center" vertical="center" textRotation="0" wrapText="0" indent="0" justifyLastLine="0" shrinkToFit="0" readingOrder="0"/>
      <border diagonalUp="0" diagonalDown="0">
        <left/>
        <right/>
        <top style="thin">
          <color theme="3"/>
        </top>
        <bottom style="thin">
          <color theme="3"/>
        </bottom>
      </border>
      <protection locked="1" hidden="1"/>
    </dxf>
    <dxf>
      <font>
        <b val="0"/>
        <i val="0"/>
        <strike val="0"/>
        <condense val="0"/>
        <extend val="0"/>
        <outline val="0"/>
        <shadow val="0"/>
        <u val="none"/>
        <vertAlign val="baseline"/>
        <sz val="9"/>
        <color auto="1"/>
        <name val="Calibri"/>
        <scheme val="minor"/>
      </font>
      <numFmt numFmtId="13" formatCode="0%"/>
      <fill>
        <patternFill patternType="solid">
          <fgColor indexed="64"/>
          <bgColor theme="0"/>
        </patternFill>
      </fill>
      <alignment horizontal="center" vertical="bottom" textRotation="0" wrapText="0" indent="0" justifyLastLine="0" shrinkToFit="0" readingOrder="0"/>
      <border diagonalUp="0" diagonalDown="0">
        <left/>
        <right/>
        <top style="thin">
          <color rgb="FF4F81BD"/>
        </top>
        <bottom style="thin">
          <color rgb="FF4F81BD"/>
        </bottom>
      </border>
      <protection locked="1" hidden="1"/>
    </dxf>
    <dxf>
      <font>
        <b val="0"/>
        <i val="0"/>
        <strike val="0"/>
        <condense val="0"/>
        <extend val="0"/>
        <outline val="0"/>
        <shadow val="0"/>
        <u val="none"/>
        <vertAlign val="baseline"/>
        <sz val="9"/>
        <color rgb="FF000000"/>
        <name val="Calibri"/>
        <scheme val="minor"/>
      </font>
      <numFmt numFmtId="13" formatCode="0%"/>
      <fill>
        <patternFill patternType="solid">
          <fgColor indexed="64"/>
          <bgColor rgb="FFFCFCFF"/>
        </patternFill>
      </fill>
      <alignment horizontal="center" vertical="center" textRotation="0" wrapText="0" indent="0" justifyLastLine="0" shrinkToFit="0" readingOrder="0"/>
      <border diagonalUp="0" diagonalDown="0">
        <left/>
        <right/>
        <top style="thin">
          <color theme="4"/>
        </top>
        <bottom style="thin">
          <color theme="4"/>
        </bottom>
      </border>
      <protection locked="1" hidden="1"/>
    </dxf>
    <dxf>
      <font>
        <strike val="0"/>
        <outline val="0"/>
        <shadow val="0"/>
        <u val="none"/>
        <vertAlign val="baseline"/>
        <sz val="9"/>
        <name val="Calibri"/>
        <scheme val="minor"/>
      </font>
      <numFmt numFmtId="164" formatCode="0.0%"/>
      <alignment horizontal="center" vertical="bottom" textRotation="0" wrapText="0" indent="0" justifyLastLine="0" shrinkToFit="0" readingOrder="0"/>
      <protection locked="1" hidden="1"/>
    </dxf>
    <dxf>
      <font>
        <strike val="0"/>
        <outline val="0"/>
        <shadow val="0"/>
        <u val="none"/>
        <vertAlign val="baseline"/>
        <sz val="9"/>
        <name val="Calibri"/>
        <scheme val="minor"/>
      </font>
      <numFmt numFmtId="164" formatCode="0.0%"/>
      <alignment horizontal="center" vertical="bottom" textRotation="0" wrapText="0" indent="0" justifyLastLine="0" shrinkToFit="0" readingOrder="0"/>
      <protection locked="1" hidden="1"/>
    </dxf>
    <dxf>
      <font>
        <strike val="0"/>
        <outline val="0"/>
        <shadow val="0"/>
        <u val="none"/>
        <vertAlign val="baseline"/>
        <sz val="9"/>
        <name val="Calibri"/>
        <scheme val="minor"/>
      </font>
      <numFmt numFmtId="164" formatCode="0.0%"/>
      <alignment horizontal="center" vertical="bottom" textRotation="0" wrapText="0" indent="0" justifyLastLine="0" shrinkToFit="0" readingOrder="0"/>
      <protection locked="1" hidden="1"/>
    </dxf>
    <dxf>
      <font>
        <b val="0"/>
        <i val="0"/>
        <strike val="0"/>
        <condense val="0"/>
        <extend val="0"/>
        <outline val="0"/>
        <shadow val="0"/>
        <u val="none"/>
        <vertAlign val="baseline"/>
        <sz val="9"/>
        <color theme="1"/>
        <name val="Calibri"/>
        <scheme val="minor"/>
      </font>
      <numFmt numFmtId="164" formatCode="0.0%"/>
      <alignment horizontal="center" vertical="bottom" textRotation="0" wrapText="0" indent="0" justifyLastLine="0" shrinkToFit="0" readingOrder="0"/>
      <protection locked="1" hidden="1"/>
    </dxf>
    <dxf>
      <font>
        <b val="0"/>
        <i val="0"/>
        <strike val="0"/>
        <condense val="0"/>
        <extend val="0"/>
        <outline val="0"/>
        <shadow val="0"/>
        <u val="none"/>
        <vertAlign val="baseline"/>
        <sz val="9"/>
        <color theme="1"/>
        <name val="Calibri"/>
        <scheme val="minor"/>
      </font>
      <numFmt numFmtId="164" formatCode="0.0%"/>
      <alignment horizontal="center" vertical="bottom" textRotation="0" wrapText="0" indent="0" justifyLastLine="0" shrinkToFit="0" readingOrder="0"/>
      <protection locked="1" hidden="1"/>
    </dxf>
    <dxf>
      <font>
        <strike val="0"/>
        <outline val="0"/>
        <shadow val="0"/>
        <u val="none"/>
        <vertAlign val="baseline"/>
        <sz val="9"/>
        <name val="Calibri"/>
        <scheme val="minor"/>
      </font>
      <numFmt numFmtId="164" formatCode="0.0%"/>
      <alignment horizontal="center" vertical="bottom" textRotation="0" wrapText="0" indent="0" justifyLastLine="0" shrinkToFit="0" readingOrder="0"/>
      <protection locked="1" hidden="1"/>
    </dxf>
    <dxf>
      <font>
        <b val="0"/>
        <i val="0"/>
        <strike val="0"/>
        <condense val="0"/>
        <extend val="0"/>
        <outline val="0"/>
        <shadow val="0"/>
        <u val="none"/>
        <vertAlign val="baseline"/>
        <sz val="9"/>
        <color theme="1"/>
        <name val="Calibri"/>
        <scheme val="minor"/>
      </font>
      <numFmt numFmtId="164" formatCode="0.0%"/>
      <alignment horizontal="center" vertical="bottom" textRotation="0" wrapText="0" indent="0" justifyLastLine="0" shrinkToFit="0" readingOrder="0"/>
      <protection locked="1" hidden="1"/>
    </dxf>
    <dxf>
      <font>
        <b val="0"/>
        <i val="0"/>
        <strike val="0"/>
        <condense val="0"/>
        <extend val="0"/>
        <outline val="0"/>
        <shadow val="0"/>
        <u val="none"/>
        <vertAlign val="baseline"/>
        <sz val="9"/>
        <color theme="1"/>
        <name val="Calibri"/>
        <scheme val="minor"/>
      </font>
      <numFmt numFmtId="164" formatCode="0.0%"/>
      <alignment horizontal="center" vertical="bottom" textRotation="0" wrapText="0" indent="0" justifyLastLine="0" shrinkToFit="0" readingOrder="0"/>
      <protection locked="1" hidden="1"/>
    </dxf>
    <dxf>
      <font>
        <b val="0"/>
        <i val="0"/>
        <strike val="0"/>
        <condense val="0"/>
        <extend val="0"/>
        <outline val="0"/>
        <shadow val="0"/>
        <u val="none"/>
        <vertAlign val="baseline"/>
        <sz val="9"/>
        <color theme="1"/>
        <name val="Calibri"/>
        <scheme val="minor"/>
      </font>
      <numFmt numFmtId="164" formatCode="0.0%"/>
      <alignment horizontal="center" vertical="bottom" textRotation="0" wrapText="0" indent="0" justifyLastLine="0" shrinkToFit="0" readingOrder="0"/>
      <protection locked="1" hidden="1"/>
    </dxf>
    <dxf>
      <font>
        <b val="0"/>
        <i val="0"/>
        <strike val="0"/>
        <condense val="0"/>
        <extend val="0"/>
        <outline val="0"/>
        <shadow val="0"/>
        <u val="none"/>
        <vertAlign val="baseline"/>
        <sz val="9"/>
        <color theme="1"/>
        <name val="Calibri"/>
        <scheme val="minor"/>
      </font>
      <numFmt numFmtId="164" formatCode="0.0%"/>
      <alignment horizontal="center" vertical="bottom" textRotation="0" wrapText="0" indent="0" justifyLastLine="0" shrinkToFit="0" readingOrder="0"/>
      <protection locked="1" hidden="1"/>
    </dxf>
    <dxf>
      <font>
        <strike val="0"/>
        <outline val="0"/>
        <shadow val="0"/>
        <u val="none"/>
        <vertAlign val="baseline"/>
        <sz val="9"/>
        <name val="Calibri"/>
        <scheme val="minor"/>
      </font>
      <numFmt numFmtId="164" formatCode="0.0%"/>
      <alignment horizontal="center" vertical="bottom" textRotation="0" wrapText="0" indent="0" justifyLastLine="0" shrinkToFit="0" readingOrder="0"/>
      <protection locked="1" hidden="1"/>
    </dxf>
    <dxf>
      <font>
        <strike val="0"/>
        <outline val="0"/>
        <shadow val="0"/>
        <u val="none"/>
        <vertAlign val="baseline"/>
        <sz val="9"/>
        <name val="Calibri"/>
        <scheme val="minor"/>
      </font>
      <numFmt numFmtId="164" formatCode="0.0%"/>
      <alignment horizontal="center" vertical="bottom" textRotation="0" wrapText="0" indent="0" justifyLastLine="0" shrinkToFit="0" readingOrder="0"/>
      <protection locked="1" hidden="1"/>
    </dxf>
    <dxf>
      <font>
        <strike val="0"/>
        <outline val="0"/>
        <shadow val="0"/>
        <u val="none"/>
        <vertAlign val="baseline"/>
        <sz val="9"/>
        <name val="Calibri"/>
        <scheme val="minor"/>
      </font>
      <numFmt numFmtId="164" formatCode="0.0%"/>
      <alignment horizontal="center" vertical="bottom" textRotation="0" wrapText="0" indent="0" justifyLastLine="0" shrinkToFit="0" readingOrder="0"/>
      <protection locked="1" hidden="1"/>
    </dxf>
    <dxf>
      <font>
        <strike val="0"/>
        <outline val="0"/>
        <shadow val="0"/>
        <u val="none"/>
        <vertAlign val="baseline"/>
        <sz val="9"/>
        <name val="Calibri"/>
        <scheme val="minor"/>
      </font>
      <numFmt numFmtId="164" formatCode="0.0%"/>
      <alignment horizontal="center" vertical="bottom" textRotation="0" wrapText="0" indent="0" justifyLastLine="0" shrinkToFit="0" readingOrder="0"/>
      <protection locked="1" hidden="1"/>
    </dxf>
    <dxf>
      <font>
        <strike val="0"/>
        <outline val="0"/>
        <shadow val="0"/>
        <u val="none"/>
        <vertAlign val="baseline"/>
        <sz val="9"/>
        <name val="Calibri"/>
        <scheme val="minor"/>
      </font>
      <numFmt numFmtId="164" formatCode="0.0%"/>
      <alignment horizontal="center" vertical="bottom" textRotation="0" wrapText="0" indent="0" justifyLastLine="0" shrinkToFit="0" readingOrder="0"/>
      <protection locked="1" hidden="1"/>
    </dxf>
    <dxf>
      <font>
        <strike val="0"/>
        <outline val="0"/>
        <shadow val="0"/>
        <u val="none"/>
        <vertAlign val="baseline"/>
        <sz val="9"/>
        <name val="Calibri"/>
        <scheme val="minor"/>
      </font>
      <numFmt numFmtId="164" formatCode="0.0%"/>
      <alignment horizontal="center" vertical="bottom" textRotation="0" wrapText="0" indent="0" justifyLastLine="0" shrinkToFit="0" readingOrder="0"/>
      <protection locked="1" hidden="1"/>
    </dxf>
    <dxf>
      <font>
        <strike val="0"/>
        <outline val="0"/>
        <shadow val="0"/>
        <u val="none"/>
        <vertAlign val="baseline"/>
        <sz val="9"/>
        <name val="Calibri"/>
        <scheme val="minor"/>
      </font>
      <numFmt numFmtId="164" formatCode="0.0%"/>
      <alignment horizontal="center" vertical="bottom" textRotation="0" wrapText="0" indent="0" justifyLastLine="0" shrinkToFit="0" readingOrder="0"/>
      <protection locked="1" hidden="1"/>
    </dxf>
    <dxf>
      <font>
        <b val="0"/>
        <i val="0"/>
        <strike val="0"/>
        <condense val="0"/>
        <extend val="0"/>
        <outline val="0"/>
        <shadow val="0"/>
        <u val="none"/>
        <vertAlign val="baseline"/>
        <sz val="9"/>
        <color auto="1"/>
        <name val="Calibri"/>
        <scheme val="minor"/>
      </font>
      <numFmt numFmtId="164" formatCode="0.0%"/>
      <fill>
        <patternFill patternType="solid">
          <fgColor indexed="64"/>
          <bgColor rgb="FFFFFF00"/>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
        <color auto="1"/>
        <name val="Calibri"/>
        <scheme val="minor"/>
      </font>
      <numFmt numFmtId="164" formatCode="0.0%"/>
      <fill>
        <patternFill patternType="solid">
          <fgColor indexed="64"/>
          <bgColor rgb="FFFFFF00"/>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
        <color auto="1"/>
        <name val="Calibri"/>
        <scheme val="minor"/>
      </font>
      <numFmt numFmtId="164" formatCode="0.0%"/>
      <fill>
        <patternFill patternType="solid">
          <fgColor indexed="64"/>
          <bgColor rgb="FFFFFF00"/>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
        <color auto="1"/>
        <name val="Calibri"/>
        <scheme val="minor"/>
      </font>
      <numFmt numFmtId="164" formatCode="0.0%"/>
      <fill>
        <patternFill patternType="solid">
          <fgColor indexed="64"/>
          <bgColor rgb="FFFFFF00"/>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
        <color auto="1"/>
        <name val="Calibri"/>
        <scheme val="minor"/>
      </font>
      <numFmt numFmtId="164" formatCode="0.0%"/>
      <fill>
        <patternFill patternType="solid">
          <fgColor indexed="64"/>
          <bgColor rgb="FFFFFF00"/>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
        <color auto="1"/>
        <name val="Calibri"/>
        <scheme val="minor"/>
      </font>
      <numFmt numFmtId="164" formatCode="0.0%"/>
      <fill>
        <patternFill patternType="solid">
          <fgColor indexed="64"/>
          <bgColor rgb="FFFFFF00"/>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
        <color auto="1"/>
        <name val="Calibri"/>
        <scheme val="minor"/>
      </font>
      <numFmt numFmtId="164" formatCode="0.0%"/>
      <fill>
        <patternFill patternType="solid">
          <fgColor indexed="64"/>
          <bgColor rgb="FFFFFF00"/>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
        <color auto="1"/>
        <name val="Calibri"/>
        <scheme val="minor"/>
      </font>
      <numFmt numFmtId="164" formatCode="0.0%"/>
      <fill>
        <patternFill patternType="solid">
          <fgColor indexed="64"/>
          <bgColor rgb="FFFFFF00"/>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
        <color auto="1"/>
        <name val="Calibri"/>
        <scheme val="minor"/>
      </font>
      <numFmt numFmtId="164" formatCode="0.0%"/>
      <fill>
        <patternFill patternType="solid">
          <fgColor indexed="64"/>
          <bgColor rgb="FFFFFF00"/>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
        <color auto="1"/>
        <name val="Calibri"/>
        <scheme val="minor"/>
      </font>
      <numFmt numFmtId="164" formatCode="0.0%"/>
      <fill>
        <patternFill patternType="solid">
          <fgColor indexed="64"/>
          <bgColor rgb="FFFFFF00"/>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
        <color auto="1"/>
        <name val="Calibri"/>
        <scheme val="minor"/>
      </font>
      <numFmt numFmtId="164" formatCode="0.0%"/>
      <fill>
        <patternFill patternType="solid">
          <fgColor indexed="64"/>
          <bgColor rgb="FFFFFF00"/>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
        <color auto="1"/>
        <name val="Calibri"/>
        <scheme val="minor"/>
      </font>
      <numFmt numFmtId="164" formatCode="0.0%"/>
      <fill>
        <patternFill patternType="solid">
          <fgColor indexed="64"/>
          <bgColor rgb="FFFFFF00"/>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
        <color auto="1"/>
        <name val="Calibri"/>
        <scheme val="minor"/>
      </font>
      <numFmt numFmtId="164" formatCode="0.0%"/>
      <fill>
        <patternFill patternType="solid">
          <fgColor indexed="64"/>
          <bgColor rgb="FFFFFF00"/>
        </patternFill>
      </fill>
      <alignment horizontal="center" vertical="bottom" textRotation="0" wrapText="0" indent="0" justifyLastLine="0" shrinkToFit="0" readingOrder="0"/>
      <protection locked="1" hidden="1"/>
    </dxf>
    <dxf>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0"/>
        <color rgb="FF000000"/>
        <name val="Calibri"/>
        <scheme val="minor"/>
      </font>
      <numFmt numFmtId="9" formatCode="&quot;$&quot;#,##0_);\(&quot;$&quot;#,##0\)"/>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rgb="FF000000"/>
        <name val="Calibri"/>
        <scheme val="minor"/>
      </font>
      <numFmt numFmtId="9" formatCode="&quot;$&quot;#,##0_);\(&quot;$&quot;#,##0\)"/>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rgb="FF000000"/>
        <name val="Calibri"/>
        <scheme val="minor"/>
      </font>
      <numFmt numFmtId="9" formatCode="&quot;$&quot;#,##0_);\(&quot;$&quot;#,##0\)"/>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rgb="FF000000"/>
        <name val="Calibri"/>
        <scheme val="minor"/>
      </font>
      <numFmt numFmtId="9" formatCode="&quot;$&quot;#,##0_);\(&quot;$&quot;#,##0\)"/>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rgb="FF000000"/>
        <name val="Calibri"/>
        <scheme val="minor"/>
      </font>
      <numFmt numFmtId="9" formatCode="&quot;$&quot;#,##0_);\(&quot;$&quot;#,##0\)"/>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rgb="FF000000"/>
        <name val="Calibri"/>
        <scheme val="minor"/>
      </font>
      <numFmt numFmtId="9" formatCode="&quot;$&quot;#,##0_);\(&quot;$&quot;#,##0\)"/>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rgb="FF000000"/>
        <name val="Calibri"/>
        <scheme val="minor"/>
      </font>
      <alignment horizontal="justify" vertical="center" textRotation="0" wrapText="1" indent="0" justifyLastLine="0" shrinkToFit="0" readingOrder="0"/>
      <protection locked="1" hidden="1"/>
    </dxf>
    <dxf>
      <font>
        <b val="0"/>
        <i val="0"/>
        <strike val="0"/>
        <condense val="0"/>
        <extend val="0"/>
        <outline val="0"/>
        <shadow val="0"/>
        <u val="none"/>
        <vertAlign val="baseline"/>
        <sz val="10"/>
        <color rgb="FF000000"/>
        <name val="Calibri"/>
        <scheme val="minor"/>
      </font>
      <alignment horizontal="justify" vertical="center" textRotation="0" wrapText="1" indent="0" justifyLastLine="0" shrinkToFit="0" readingOrder="0"/>
      <protection locked="1" hidden="1"/>
    </dxf>
    <dxf>
      <border>
        <top style="thin">
          <color theme="3"/>
        </top>
      </border>
    </dxf>
    <dxf>
      <border diagonalUp="0" diagonalDown="0">
        <left style="thin">
          <color theme="3"/>
        </left>
        <right style="thin">
          <color theme="3"/>
        </right>
        <top style="thin">
          <color theme="3"/>
        </top>
        <bottom style="thin">
          <color theme="3"/>
        </bottom>
      </border>
    </dxf>
    <dxf>
      <font>
        <b val="0"/>
        <i val="0"/>
        <strike val="0"/>
        <condense val="0"/>
        <extend val="0"/>
        <outline val="0"/>
        <shadow val="0"/>
        <u val="none"/>
        <vertAlign val="baseline"/>
        <sz val="9"/>
        <color rgb="FF000000"/>
        <name val="Calibri"/>
        <scheme val="minor"/>
      </font>
      <alignment horizontal="center" vertical="center" textRotation="0" wrapText="1" indent="0" justifyLastLine="0" shrinkToFit="0" readingOrder="0"/>
      <protection locked="1" hidden="1"/>
    </dxf>
    <dxf>
      <border>
        <bottom style="thin">
          <color theme="3"/>
        </bottom>
      </border>
    </dxf>
    <dxf>
      <font>
        <b/>
        <i val="0"/>
        <strike val="0"/>
        <condense val="0"/>
        <extend val="0"/>
        <outline val="0"/>
        <shadow val="0"/>
        <u val="none"/>
        <vertAlign val="baseline"/>
        <sz val="9"/>
        <color theme="0"/>
        <name val="Calibri"/>
        <scheme val="minor"/>
      </font>
      <fill>
        <patternFill patternType="solid">
          <fgColor theme="4"/>
          <bgColor theme="4"/>
        </patternFill>
      </fill>
      <alignment horizontal="center" vertical="bottom" textRotation="0" wrapText="1" indent="0" justifyLastLine="0" shrinkToFit="0" readingOrder="0"/>
      <border diagonalUp="0" diagonalDown="0" outline="0">
        <left style="thin">
          <color theme="3"/>
        </left>
        <right style="thin">
          <color theme="3"/>
        </right>
        <top/>
        <bottom/>
      </border>
      <protection locked="1" hidden="1"/>
    </dxf>
    <dxf>
      <font>
        <b/>
        <i val="0"/>
        <strike val="0"/>
        <condense val="0"/>
        <extend val="0"/>
        <outline val="0"/>
        <shadow val="0"/>
        <u val="none"/>
        <vertAlign val="baseline"/>
        <sz val="9"/>
        <color rgb="FFFA7D00"/>
        <name val="Calibri"/>
        <scheme val="minor"/>
      </font>
      <numFmt numFmtId="165" formatCode="&quot;$&quot;#,##0"/>
      <fill>
        <patternFill patternType="solid">
          <fgColor rgb="FF000000"/>
          <bgColor rgb="FFF2F2F2"/>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b/>
        <i val="0"/>
        <strike val="0"/>
        <condense val="0"/>
        <extend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b val="0"/>
        <i val="0"/>
        <strike val="0"/>
        <condense val="0"/>
        <extend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b/>
        <i val="0"/>
        <strike val="0"/>
        <condense val="0"/>
        <extend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b/>
        <i val="0"/>
        <strike val="0"/>
        <condense val="0"/>
        <extend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b/>
        <i val="0"/>
        <strike val="0"/>
        <condense val="0"/>
        <extend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b val="0"/>
        <i val="0"/>
        <strike val="0"/>
        <condense val="0"/>
        <extend val="0"/>
        <outline val="0"/>
        <shadow val="0"/>
        <u val="none"/>
        <vertAlign val="baseline"/>
        <sz val="9"/>
        <color rgb="FF000000"/>
        <name val="Calibri"/>
        <scheme val="minor"/>
      </font>
      <alignment horizontal="center" vertical="bottom" textRotation="0" wrapText="0" indent="0" justifyLastLine="0" shrinkToFit="0" readingOrder="0"/>
      <border diagonalUp="0" diagonalDown="0" outline="0">
        <left/>
        <right/>
        <top style="thin">
          <color rgb="FF4F81BD"/>
        </top>
        <bottom/>
      </border>
      <protection locked="1" hidden="1"/>
    </dxf>
    <dxf>
      <border outline="0">
        <left style="thin">
          <color rgb="FF4F81BD"/>
        </left>
        <top style="thin">
          <color rgb="FF4F81BD"/>
        </top>
      </border>
    </dxf>
    <dxf>
      <font>
        <b/>
        <i val="0"/>
        <strike val="0"/>
        <condense val="0"/>
        <extend val="0"/>
        <outline val="0"/>
        <shadow val="0"/>
        <u val="none"/>
        <vertAlign val="baseline"/>
        <sz val="9"/>
        <color rgb="FFFA7D00"/>
        <name val="Calibri"/>
        <scheme val="minor"/>
      </font>
      <fill>
        <patternFill patternType="solid">
          <fgColor rgb="FF000000"/>
          <bgColor rgb="FFF2F2F2"/>
        </patternFill>
      </fill>
      <protection locked="1" hidden="1"/>
    </dxf>
    <dxf>
      <font>
        <b/>
        <i val="0"/>
        <strike val="0"/>
        <condense val="0"/>
        <extend val="0"/>
        <outline val="0"/>
        <shadow val="0"/>
        <u val="none"/>
        <vertAlign val="baseline"/>
        <sz val="9"/>
        <color rgb="FFFFFFFF"/>
        <name val="Calibri"/>
        <scheme val="minor"/>
      </font>
      <fill>
        <patternFill patternType="solid">
          <fgColor rgb="FF4F81BD"/>
          <bgColor rgb="FF4F81BD"/>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9"/>
        <color theme="1"/>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b val="0"/>
        <i val="0"/>
        <strike val="0"/>
        <condense val="0"/>
        <extend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b val="0"/>
        <i val="0"/>
        <strike val="0"/>
        <condense val="0"/>
        <extend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b val="0"/>
        <i val="0"/>
        <strike val="0"/>
        <condense val="0"/>
        <extend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b val="0"/>
        <i val="0"/>
        <strike val="0"/>
        <condense val="0"/>
        <extend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b val="0"/>
        <i val="0"/>
        <strike val="0"/>
        <condense val="0"/>
        <extend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border diagonalUp="0" diagonalDown="0" outline="0">
        <left/>
        <right/>
        <top style="thin">
          <color theme="4"/>
        </top>
        <bottom/>
      </border>
      <protection locked="1" hidden="1"/>
    </dxf>
    <dxf>
      <border outline="0">
        <left style="thin">
          <color theme="4"/>
        </left>
        <top style="thin">
          <color theme="4"/>
        </top>
      </border>
    </dxf>
    <dxf>
      <font>
        <b val="0"/>
        <i val="0"/>
        <strike val="0"/>
        <condense val="0"/>
        <extend val="0"/>
        <outline val="0"/>
        <shadow val="0"/>
        <u val="none"/>
        <vertAlign val="baseline"/>
        <sz val="9"/>
        <color theme="1"/>
        <name val="Calibri"/>
        <scheme val="minor"/>
      </font>
      <protection locked="1" hidden="1"/>
    </dxf>
    <dxf>
      <font>
        <b/>
        <i val="0"/>
        <strike val="0"/>
        <condense val="0"/>
        <extend val="0"/>
        <outline val="0"/>
        <shadow val="0"/>
        <u val="none"/>
        <vertAlign val="baseline"/>
        <sz val="9"/>
        <color theme="0"/>
        <name val="Calibri"/>
        <scheme val="minor"/>
      </font>
      <fill>
        <patternFill patternType="solid">
          <fgColor theme="4"/>
          <bgColor theme="4"/>
        </patternFill>
      </fill>
      <alignment horizontal="center" vertical="center" textRotation="0" wrapText="1" indent="0" justifyLastLine="0" shrinkToFit="0" readingOrder="0"/>
      <protection locked="1" hidden="1"/>
    </dxf>
    <dxf>
      <font>
        <b/>
        <strike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b/>
        <strike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strike val="0"/>
        <outline val="0"/>
        <shadow val="0"/>
        <u val="none"/>
        <vertAlign val="baseline"/>
        <sz val="9"/>
        <name val="Calibri"/>
        <scheme val="minor"/>
      </font>
    </dxf>
    <dxf>
      <font>
        <b/>
        <strike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b/>
        <strike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b/>
        <strike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strike val="0"/>
        <outline val="0"/>
        <shadow val="0"/>
        <u val="none"/>
        <vertAlign val="baseline"/>
        <sz val="9"/>
        <name val="Calibri"/>
        <scheme val="minor"/>
      </font>
      <alignment horizontal="right" vertical="center" textRotation="0" wrapText="1" justifyLastLine="0" shrinkToFit="0"/>
      <protection locked="1" hidden="1"/>
    </dxf>
    <dxf>
      <font>
        <strike val="0"/>
        <outline val="0"/>
        <shadow val="0"/>
        <u val="none"/>
        <vertAlign val="baseline"/>
        <sz val="9"/>
        <name val="Calibri"/>
        <scheme val="minor"/>
      </font>
      <protection locked="1" hidden="1"/>
    </dxf>
    <dxf>
      <font>
        <b/>
        <i val="0"/>
        <strike val="0"/>
        <condense val="0"/>
        <extend val="0"/>
        <outline val="0"/>
        <shadow val="0"/>
        <u val="none"/>
        <vertAlign val="baseline"/>
        <sz val="9"/>
        <color theme="0"/>
        <name val="Calibri"/>
        <scheme val="minor"/>
      </font>
      <fill>
        <patternFill patternType="solid">
          <fgColor theme="4"/>
          <bgColor theme="4"/>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9"/>
        <color theme="1"/>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b val="0"/>
        <i val="0"/>
        <strike val="0"/>
        <condense val="0"/>
        <extend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b val="0"/>
        <i val="0"/>
        <strike val="0"/>
        <condense val="0"/>
        <extend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b val="0"/>
        <i val="0"/>
        <strike val="0"/>
        <condense val="0"/>
        <extend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b val="0"/>
        <i val="0"/>
        <strike val="0"/>
        <condense val="0"/>
        <extend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b val="0"/>
        <i val="0"/>
        <strike val="0"/>
        <condense val="0"/>
        <extend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border diagonalUp="0" diagonalDown="0" outline="0">
        <left/>
        <right/>
        <top style="thin">
          <color theme="4"/>
        </top>
        <bottom/>
      </border>
      <protection locked="1" hidden="1"/>
    </dxf>
    <dxf>
      <border outline="0">
        <left style="thin">
          <color theme="4"/>
        </left>
        <top style="thin">
          <color theme="4"/>
        </top>
      </border>
    </dxf>
    <dxf>
      <font>
        <b val="0"/>
        <i val="0"/>
        <strike val="0"/>
        <condense val="0"/>
        <extend val="0"/>
        <outline val="0"/>
        <shadow val="0"/>
        <u val="none"/>
        <vertAlign val="baseline"/>
        <sz val="9"/>
        <color theme="1"/>
        <name val="Calibri"/>
        <scheme val="minor"/>
      </font>
      <protection locked="1" hidden="1"/>
    </dxf>
    <dxf>
      <font>
        <b/>
        <i val="0"/>
        <strike val="0"/>
        <condense val="0"/>
        <extend val="0"/>
        <outline val="0"/>
        <shadow val="0"/>
        <u val="none"/>
        <vertAlign val="baseline"/>
        <sz val="9"/>
        <color theme="0"/>
        <name val="Calibri"/>
        <scheme val="minor"/>
      </font>
      <fill>
        <patternFill patternType="solid">
          <fgColor theme="4"/>
          <bgColor theme="4"/>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9"/>
        <color rgb="FF000000"/>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strike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b val="0"/>
        <i val="0"/>
        <strike val="0"/>
        <condense val="0"/>
        <extend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strike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strike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strike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b val="0"/>
        <i val="0"/>
        <strike val="0"/>
        <condense val="0"/>
        <extend val="0"/>
        <outline val="0"/>
        <shadow val="0"/>
        <u val="none"/>
        <vertAlign val="baseline"/>
        <sz val="9"/>
        <color theme="1"/>
        <name val="Calibri"/>
        <scheme val="minor"/>
      </font>
      <alignment horizontal="center" vertical="bottom" textRotation="0" wrapText="0" indent="0" justifyLastLine="0" shrinkToFit="0"/>
      <protection locked="1" hidden="1"/>
    </dxf>
    <dxf>
      <border outline="0">
        <top style="thin">
          <color rgb="FF4F81BD"/>
        </top>
      </border>
    </dxf>
    <dxf>
      <font>
        <b val="0"/>
        <i val="0"/>
        <strike val="0"/>
        <condense val="0"/>
        <extend val="0"/>
        <outline val="0"/>
        <shadow val="0"/>
        <u val="none"/>
        <vertAlign val="baseline"/>
        <sz val="9"/>
        <color rgb="FF000000"/>
        <name val="Calibri"/>
        <scheme val="minor"/>
      </font>
      <protection locked="1" hidden="1"/>
    </dxf>
    <dxf>
      <font>
        <b/>
        <i val="0"/>
        <strike val="0"/>
        <condense val="0"/>
        <extend val="0"/>
        <outline val="0"/>
        <shadow val="0"/>
        <u val="none"/>
        <vertAlign val="baseline"/>
        <sz val="9"/>
        <color theme="0"/>
        <name val="Calibri"/>
        <scheme val="minor"/>
      </font>
      <fill>
        <patternFill patternType="solid">
          <fgColor theme="4"/>
          <bgColor theme="4"/>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9"/>
        <color theme="1"/>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strike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b val="0"/>
        <i val="0"/>
        <strike val="0"/>
        <condense val="0"/>
        <extend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strike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strike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strike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b val="0"/>
        <i val="0"/>
        <strike val="0"/>
        <condense val="0"/>
        <extend val="0"/>
        <outline val="0"/>
        <shadow val="0"/>
        <u val="none"/>
        <vertAlign val="baseline"/>
        <sz val="9"/>
        <color theme="1"/>
        <name val="Calibri"/>
        <scheme val="minor"/>
      </font>
      <alignment horizontal="center" vertical="bottom" textRotation="0" wrapText="0" indent="0" justifyLastLine="0" shrinkToFit="0"/>
      <protection locked="1" hidden="1"/>
    </dxf>
    <dxf>
      <border outline="0">
        <top style="thin">
          <color theme="4"/>
        </top>
      </border>
    </dxf>
    <dxf>
      <font>
        <b val="0"/>
        <i val="0"/>
        <strike val="0"/>
        <condense val="0"/>
        <extend val="0"/>
        <outline val="0"/>
        <shadow val="0"/>
        <u val="none"/>
        <vertAlign val="baseline"/>
        <sz val="9"/>
        <color theme="1"/>
        <name val="Calibri"/>
        <scheme val="minor"/>
      </font>
      <protection locked="1" hidden="1"/>
    </dxf>
    <dxf>
      <font>
        <b/>
        <i val="0"/>
        <strike val="0"/>
        <condense val="0"/>
        <extend val="0"/>
        <outline val="0"/>
        <shadow val="0"/>
        <u val="none"/>
        <vertAlign val="baseline"/>
        <sz val="9"/>
        <color theme="0"/>
        <name val="Calibri"/>
        <scheme val="minor"/>
      </font>
      <fill>
        <patternFill patternType="solid">
          <fgColor theme="4"/>
          <bgColor theme="4"/>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9"/>
        <color theme="1"/>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strike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b val="0"/>
        <i val="0"/>
        <strike val="0"/>
        <condense val="0"/>
        <extend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strike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strike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strike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b val="0"/>
        <i val="0"/>
        <strike val="0"/>
        <condense val="0"/>
        <extend val="0"/>
        <outline val="0"/>
        <shadow val="0"/>
        <u val="none"/>
        <vertAlign val="baseline"/>
        <sz val="9"/>
        <color theme="1"/>
        <name val="Calibri"/>
        <scheme val="minor"/>
      </font>
      <alignment horizontal="center" vertical="bottom" textRotation="0" wrapText="0" indent="0" justifyLastLine="0" shrinkToFit="0"/>
      <protection locked="1" hidden="1"/>
    </dxf>
    <dxf>
      <border outline="0">
        <top style="thin">
          <color theme="4"/>
        </top>
      </border>
    </dxf>
    <dxf>
      <font>
        <b val="0"/>
        <i val="0"/>
        <strike val="0"/>
        <condense val="0"/>
        <extend val="0"/>
        <outline val="0"/>
        <shadow val="0"/>
        <u val="none"/>
        <vertAlign val="baseline"/>
        <sz val="9"/>
        <color theme="1"/>
        <name val="Calibri"/>
        <scheme val="minor"/>
      </font>
      <protection locked="1" hidden="1"/>
    </dxf>
    <dxf>
      <font>
        <b/>
        <i val="0"/>
        <strike val="0"/>
        <condense val="0"/>
        <extend val="0"/>
        <outline val="0"/>
        <shadow val="0"/>
        <u val="none"/>
        <vertAlign val="baseline"/>
        <sz val="9"/>
        <color theme="0"/>
        <name val="Calibri"/>
        <scheme val="minor"/>
      </font>
      <fill>
        <patternFill patternType="solid">
          <fgColor theme="4"/>
          <bgColor theme="4"/>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9"/>
        <color theme="1"/>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strike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b val="0"/>
        <i val="0"/>
        <strike val="0"/>
        <condense val="0"/>
        <extend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strike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strike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strike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b val="0"/>
        <i val="0"/>
        <strike val="0"/>
        <condense val="0"/>
        <extend val="0"/>
        <outline val="0"/>
        <shadow val="0"/>
        <u val="none"/>
        <vertAlign val="baseline"/>
        <sz val="9"/>
        <color theme="1"/>
        <name val="Calibri"/>
        <scheme val="minor"/>
      </font>
      <alignment horizontal="center" vertical="bottom" textRotation="0" wrapText="0" indent="0" justifyLastLine="0" shrinkToFit="0"/>
      <protection locked="1" hidden="1"/>
    </dxf>
    <dxf>
      <border outline="0">
        <top style="thin">
          <color theme="4"/>
        </top>
      </border>
    </dxf>
    <dxf>
      <font>
        <b val="0"/>
        <i val="0"/>
        <strike val="0"/>
        <condense val="0"/>
        <extend val="0"/>
        <outline val="0"/>
        <shadow val="0"/>
        <u val="none"/>
        <vertAlign val="baseline"/>
        <sz val="9"/>
        <color theme="1"/>
        <name val="Calibri"/>
        <scheme val="minor"/>
      </font>
      <protection locked="1" hidden="1"/>
    </dxf>
    <dxf>
      <font>
        <b/>
        <i val="0"/>
        <strike val="0"/>
        <condense val="0"/>
        <extend val="0"/>
        <outline val="0"/>
        <shadow val="0"/>
        <u val="none"/>
        <vertAlign val="baseline"/>
        <sz val="9"/>
        <color theme="0"/>
        <name val="Calibri"/>
        <scheme val="minor"/>
      </font>
      <fill>
        <patternFill patternType="solid">
          <fgColor theme="4"/>
          <bgColor theme="4"/>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9"/>
        <color theme="1"/>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strike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b val="0"/>
        <i val="0"/>
        <strike val="0"/>
        <condense val="0"/>
        <extend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strike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strike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strike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b val="0"/>
        <i val="0"/>
        <strike val="0"/>
        <condense val="0"/>
        <extend val="0"/>
        <outline val="0"/>
        <shadow val="0"/>
        <u val="none"/>
        <vertAlign val="baseline"/>
        <sz val="9"/>
        <color theme="1"/>
        <name val="Calibri"/>
        <scheme val="minor"/>
      </font>
      <alignment horizontal="center" vertical="bottom" textRotation="0" wrapText="0" indent="0" justifyLastLine="0" shrinkToFit="0"/>
      <protection locked="1" hidden="1"/>
    </dxf>
    <dxf>
      <border outline="0">
        <top style="thin">
          <color theme="4"/>
        </top>
      </border>
    </dxf>
    <dxf>
      <font>
        <b val="0"/>
        <i val="0"/>
        <strike val="0"/>
        <condense val="0"/>
        <extend val="0"/>
        <outline val="0"/>
        <shadow val="0"/>
        <u val="none"/>
        <vertAlign val="baseline"/>
        <sz val="9"/>
        <color theme="1"/>
        <name val="Calibri"/>
        <scheme val="minor"/>
      </font>
      <protection locked="1" hidden="1"/>
    </dxf>
    <dxf>
      <font>
        <b/>
        <i val="0"/>
        <strike val="0"/>
        <condense val="0"/>
        <extend val="0"/>
        <outline val="0"/>
        <shadow val="0"/>
        <u val="none"/>
        <vertAlign val="baseline"/>
        <sz val="9"/>
        <color theme="0"/>
        <name val="Calibri"/>
        <scheme val="minor"/>
      </font>
      <fill>
        <patternFill patternType="solid">
          <fgColor theme="4"/>
          <bgColor theme="4"/>
        </patternFill>
      </fill>
      <alignment horizontal="center" vertical="center" textRotation="0" wrapText="1" indent="0" justifyLastLine="0" shrinkToFit="0" readingOrder="0"/>
      <protection locked="1" hidden="1"/>
    </dxf>
    <dxf>
      <font>
        <strike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strike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b val="0"/>
        <i val="0"/>
        <strike val="0"/>
        <condense val="0"/>
        <extend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strike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strike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strike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strike val="0"/>
        <outline val="0"/>
        <shadow val="0"/>
        <u val="none"/>
        <vertAlign val="baseline"/>
        <sz val="9"/>
        <color rgb="FF000000"/>
        <name val="Calibri"/>
        <scheme val="minor"/>
      </font>
      <alignment horizontal="right" vertical="center" textRotation="0" wrapText="1" indent="0" justifyLastLine="0" shrinkToFit="0" readingOrder="0"/>
      <border diagonalUp="0" diagonalDown="0" outline="0">
        <left/>
        <right/>
        <top style="thin">
          <color theme="4"/>
        </top>
        <bottom/>
      </border>
      <protection locked="1" hidden="1"/>
    </dxf>
    <dxf>
      <font>
        <strike val="0"/>
        <outline val="0"/>
        <shadow val="0"/>
        <u val="none"/>
        <vertAlign val="baseline"/>
        <sz val="9"/>
        <color rgb="FF3F3F76"/>
        <name val="Calibri"/>
        <scheme val="minor"/>
      </font>
      <fill>
        <patternFill patternType="solid">
          <fgColor indexed="64"/>
          <bgColor theme="0"/>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
        <color theme="0"/>
        <name val="Calibri"/>
        <scheme val="minor"/>
      </font>
      <fill>
        <patternFill patternType="solid">
          <fgColor theme="4"/>
          <bgColor theme="4"/>
        </patternFill>
      </fill>
      <alignment horizontal="right" vertical="bottom" textRotation="0" wrapText="0" indent="0" justifyLastLine="0" shrinkToFit="0" readingOrder="0"/>
      <protection locked="1" hidden="1"/>
    </dxf>
    <dxf>
      <font>
        <strike val="0"/>
        <outline val="0"/>
        <shadow val="0"/>
        <u val="none"/>
        <vertAlign val="baseline"/>
        <sz val="9"/>
        <color rgb="FF3F3F76"/>
        <name val="Calibri"/>
        <scheme val="minor"/>
      </font>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strike val="0"/>
        <outline val="0"/>
        <shadow val="0"/>
        <u val="none"/>
        <vertAlign val="baseline"/>
        <sz val="9"/>
        <color rgb="FF3F3F76"/>
        <name val="Calibri"/>
        <scheme val="minor"/>
      </font>
      <fill>
        <patternFill patternType="solid">
          <fgColor indexed="64"/>
          <bgColor theme="0"/>
        </patternFill>
      </fill>
      <alignment horizontal="center" vertical="bottom" textRotation="0" wrapText="0" indent="0" justifyLastLine="0" shrinkToFit="0" readingOrder="0"/>
      <border diagonalUp="0" diagonalDown="0" outline="0">
        <left style="thin">
          <color rgb="FFB2B2B2"/>
        </left>
        <right style="thin">
          <color rgb="FF7F7F7F"/>
        </right>
        <top style="thin">
          <color rgb="FF7F7F7F"/>
        </top>
        <bottom style="thin">
          <color rgb="FF7F7F7F"/>
        </bottom>
      </border>
      <protection locked="1" hidden="1"/>
    </dxf>
    <dxf>
      <font>
        <b val="0"/>
        <i val="0"/>
        <strike val="0"/>
        <condense val="0"/>
        <extend val="0"/>
        <outline val="0"/>
        <shadow val="0"/>
        <u val="none"/>
        <vertAlign val="baseline"/>
        <sz val="9"/>
        <color auto="1"/>
        <name val="Calibri"/>
        <scheme val="minor"/>
      </font>
      <fill>
        <patternFill patternType="solid">
          <fgColor indexed="64"/>
          <bgColor theme="0" tint="-0.14999847407452621"/>
        </patternFill>
      </fill>
      <alignment horizontal="right" vertical="bottom" textRotation="0" wrapText="0" indent="0" justifyLastLine="0" shrinkToFit="0" readingOrder="0"/>
      <border diagonalUp="0" diagonalDown="0" outline="0">
        <left style="thin">
          <color rgb="FFB2B2B2"/>
        </left>
        <right style="thin">
          <color rgb="FFB2B2B2"/>
        </right>
        <top style="thin">
          <color rgb="FFB2B2B2"/>
        </top>
        <bottom style="thin">
          <color rgb="FFB2B2B2"/>
        </bottom>
      </border>
      <protection locked="1" hidden="1"/>
    </dxf>
    <dxf>
      <font>
        <strike val="0"/>
        <outline val="0"/>
        <shadow val="0"/>
        <u val="none"/>
        <vertAlign val="baseline"/>
        <sz val="9"/>
        <name val="Calibri"/>
        <scheme val="minor"/>
      </font>
      <protection locked="1" hidden="1"/>
    </dxf>
    <dxf>
      <font>
        <strike val="0"/>
        <outline val="0"/>
        <shadow val="0"/>
        <u val="none"/>
        <vertAlign val="baseline"/>
        <sz val="9"/>
        <name val="Calibri"/>
        <scheme val="minor"/>
      </font>
      <protection locked="1" hidden="1"/>
    </dxf>
    <dxf>
      <font>
        <b val="0"/>
        <i val="0"/>
        <strike val="0"/>
        <condense val="0"/>
        <extend val="0"/>
        <outline val="0"/>
        <shadow val="0"/>
        <u val="none"/>
        <vertAlign val="baseline"/>
        <sz val="9"/>
        <color rgb="FF000000"/>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strike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b val="0"/>
        <i val="0"/>
        <strike val="0"/>
        <condense val="0"/>
        <extend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strike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strike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strike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b val="0"/>
        <i val="0"/>
        <strike val="0"/>
        <condense val="0"/>
        <extend val="0"/>
        <outline val="0"/>
        <shadow val="0"/>
        <u val="none"/>
        <vertAlign val="baseline"/>
        <sz val="9"/>
        <color theme="1"/>
        <name val="Calibri"/>
        <scheme val="minor"/>
      </font>
      <alignment horizontal="center" vertical="bottom" textRotation="0" wrapText="0" indent="0" justifyLastLine="0" shrinkToFit="0"/>
      <protection locked="1" hidden="1"/>
    </dxf>
    <dxf>
      <border outline="0">
        <top style="thin">
          <color rgb="FF4F81BD"/>
        </top>
      </border>
    </dxf>
    <dxf>
      <font>
        <b val="0"/>
        <i val="0"/>
        <strike val="0"/>
        <condense val="0"/>
        <extend val="0"/>
        <outline val="0"/>
        <shadow val="0"/>
        <u val="none"/>
        <vertAlign val="baseline"/>
        <sz val="9"/>
        <color rgb="FF000000"/>
        <name val="Calibri"/>
        <scheme val="minor"/>
      </font>
      <protection locked="1" hidden="1"/>
    </dxf>
    <dxf>
      <font>
        <b/>
        <i val="0"/>
        <strike val="0"/>
        <condense val="0"/>
        <extend val="0"/>
        <outline val="0"/>
        <shadow val="0"/>
        <u val="none"/>
        <vertAlign val="baseline"/>
        <sz val="9"/>
        <color theme="0"/>
        <name val="Calibri"/>
        <scheme val="minor"/>
      </font>
      <fill>
        <patternFill patternType="solid">
          <fgColor theme="4"/>
          <bgColor theme="4"/>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9"/>
        <color rgb="FF000000"/>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strike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b val="0"/>
        <i val="0"/>
        <strike val="0"/>
        <condense val="0"/>
        <extend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strike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strike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strike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b val="0"/>
        <i val="0"/>
        <strike val="0"/>
        <condense val="0"/>
        <extend val="0"/>
        <outline val="0"/>
        <shadow val="0"/>
        <u val="none"/>
        <vertAlign val="baseline"/>
        <sz val="9"/>
        <color theme="1"/>
        <name val="Calibri"/>
        <scheme val="minor"/>
      </font>
      <alignment horizontal="center" vertical="bottom" textRotation="0" wrapText="0" indent="0" justifyLastLine="0" shrinkToFit="0"/>
      <protection locked="1" hidden="1"/>
    </dxf>
    <dxf>
      <border outline="0">
        <top style="thin">
          <color rgb="FF4F81BD"/>
        </top>
      </border>
    </dxf>
    <dxf>
      <font>
        <b val="0"/>
        <i val="0"/>
        <strike val="0"/>
        <condense val="0"/>
        <extend val="0"/>
        <outline val="0"/>
        <shadow val="0"/>
        <u val="none"/>
        <vertAlign val="baseline"/>
        <sz val="9"/>
        <color rgb="FF000000"/>
        <name val="Calibri"/>
        <scheme val="minor"/>
      </font>
      <protection locked="1" hidden="1"/>
    </dxf>
    <dxf>
      <font>
        <b/>
        <i val="0"/>
        <strike val="0"/>
        <condense val="0"/>
        <extend val="0"/>
        <outline val="0"/>
        <shadow val="0"/>
        <u val="none"/>
        <vertAlign val="baseline"/>
        <sz val="9"/>
        <color theme="0"/>
        <name val="Calibri"/>
        <scheme val="minor"/>
      </font>
      <fill>
        <patternFill patternType="solid">
          <fgColor theme="4"/>
          <bgColor theme="4"/>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9"/>
        <color rgb="FF000000"/>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strike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b val="0"/>
        <i val="0"/>
        <strike val="0"/>
        <condense val="0"/>
        <extend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strike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strike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strike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b val="0"/>
        <i val="0"/>
        <strike val="0"/>
        <condense val="0"/>
        <extend val="0"/>
        <outline val="0"/>
        <shadow val="0"/>
        <u val="none"/>
        <vertAlign val="baseline"/>
        <sz val="9"/>
        <color theme="1"/>
        <name val="Calibri"/>
        <scheme val="minor"/>
      </font>
      <alignment horizontal="center" vertical="bottom" textRotation="0" wrapText="0" indent="0" justifyLastLine="0" shrinkToFit="0"/>
      <protection locked="1" hidden="1"/>
    </dxf>
    <dxf>
      <border outline="0">
        <top style="thin">
          <color rgb="FF4F81BD"/>
        </top>
      </border>
    </dxf>
    <dxf>
      <font>
        <b val="0"/>
        <i val="0"/>
        <strike val="0"/>
        <condense val="0"/>
        <extend val="0"/>
        <outline val="0"/>
        <shadow val="0"/>
        <u val="none"/>
        <vertAlign val="baseline"/>
        <sz val="9"/>
        <color rgb="FF000000"/>
        <name val="Calibri"/>
        <scheme val="minor"/>
      </font>
      <protection locked="1" hidden="1"/>
    </dxf>
    <dxf>
      <font>
        <b/>
        <i val="0"/>
        <strike val="0"/>
        <condense val="0"/>
        <extend val="0"/>
        <outline val="0"/>
        <shadow val="0"/>
        <u val="none"/>
        <vertAlign val="baseline"/>
        <sz val="9"/>
        <color theme="0"/>
        <name val="Calibri"/>
        <scheme val="minor"/>
      </font>
      <fill>
        <patternFill patternType="solid">
          <fgColor theme="4"/>
          <bgColor theme="4"/>
        </patternFill>
      </fill>
      <alignment horizontal="center" vertical="center" textRotation="0" wrapText="1" indent="0" justifyLastLine="0" shrinkToFit="0" readingOrder="0"/>
      <protection locked="1" hidden="1"/>
    </dxf>
    <dxf>
      <font>
        <strike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strike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b val="0"/>
        <i val="0"/>
        <strike val="0"/>
        <condense val="0"/>
        <extend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strike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strike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1" hidden="1"/>
    </dxf>
    <dxf>
      <font>
        <strike val="0"/>
        <outline val="0"/>
        <shadow val="0"/>
        <u val="none"/>
        <vertAlign val="baseline"/>
        <sz val="9"/>
        <name val="Calibri"/>
        <scheme val="minor"/>
      </font>
      <numFmt numFmtId="165" formatCode="&quot;$&quot;#,##0"/>
      <alignment horizontal="center" vertical="center" textRotation="0" wrapText="0" justifyLastLine="0" shrinkToFit="0"/>
      <protection locked="1" hidden="1"/>
    </dxf>
    <dxf>
      <font>
        <strike val="0"/>
        <outline val="0"/>
        <shadow val="0"/>
        <u val="none"/>
        <vertAlign val="baseline"/>
        <sz val="9"/>
        <name val="Calibri"/>
        <scheme val="minor"/>
      </font>
      <alignment horizontal="center" vertical="bottom" textRotation="0" wrapText="0" indent="0" justifyLastLine="0" shrinkToFit="0" readingOrder="0"/>
      <protection locked="1" hidden="1"/>
    </dxf>
    <dxf>
      <font>
        <strike val="0"/>
        <outline val="0"/>
        <shadow val="0"/>
        <u val="none"/>
        <vertAlign val="baseline"/>
        <sz val="9"/>
        <name val="Calibri"/>
        <scheme val="minor"/>
      </font>
      <protection locked="1" hidden="1"/>
    </dxf>
    <dxf>
      <font>
        <b/>
        <i val="0"/>
        <strike val="0"/>
        <condense val="0"/>
        <extend val="0"/>
        <outline val="0"/>
        <shadow val="0"/>
        <u val="none"/>
        <vertAlign val="baseline"/>
        <sz val="9"/>
        <color theme="0"/>
        <name val="Calibri"/>
        <scheme val="minor"/>
      </font>
      <fill>
        <patternFill patternType="solid">
          <fgColor theme="4"/>
          <bgColor theme="4"/>
        </patternFill>
      </fill>
      <alignment horizontal="right" vertical="bottom" textRotation="0" wrapText="0" indent="0" justifyLastLine="0" shrinkToFit="0" readingOrder="0"/>
      <protection locked="1" hidden="1"/>
    </dxf>
    <dxf>
      <font>
        <strike val="0"/>
        <outline val="0"/>
        <shadow val="0"/>
        <u val="none"/>
        <vertAlign val="baseline"/>
        <sz val="9"/>
        <name val="Calibri"/>
        <scheme val="minor"/>
      </font>
      <numFmt numFmtId="13" formatCode="0%"/>
      <alignment horizontal="center" vertical="bottom" textRotation="0" wrapText="0" indent="0" justifyLastLine="0" shrinkToFit="0"/>
      <border diagonalUp="0" diagonalDown="0" outline="0">
        <left/>
        <right/>
        <top style="thin">
          <color theme="4"/>
        </top>
        <bottom style="thin">
          <color theme="4"/>
        </bottom>
      </border>
      <protection locked="1" hidden="1"/>
    </dxf>
    <dxf>
      <font>
        <strike val="0"/>
        <outline val="0"/>
        <shadow val="0"/>
        <u val="none"/>
        <vertAlign val="baseline"/>
        <sz val="9"/>
        <color auto="1"/>
        <name val="Calibri"/>
        <scheme val="minor"/>
      </font>
      <numFmt numFmtId="3" formatCode="#,##0"/>
      <alignment horizontal="center" vertical="bottom" textRotation="0" wrapText="0" indent="0" justifyLastLine="0" shrinkToFit="0" readingOrder="0"/>
      <border diagonalUp="0" diagonalDown="0" outline="0">
        <left/>
        <right/>
        <top style="thin">
          <color theme="4"/>
        </top>
        <bottom style="thin">
          <color theme="4"/>
        </bottom>
      </border>
      <protection locked="1" hidden="1"/>
    </dxf>
    <dxf>
      <font>
        <b val="0"/>
        <i val="0"/>
        <strike val="0"/>
        <condense val="0"/>
        <extend val="0"/>
        <outline val="0"/>
        <shadow val="0"/>
        <u val="none"/>
        <vertAlign val="baseline"/>
        <sz val="9"/>
        <color auto="1"/>
        <name val="Calibri"/>
        <scheme val="minor"/>
      </font>
      <numFmt numFmtId="3" formatCode="#,##0"/>
      <fill>
        <patternFill patternType="solid">
          <fgColor indexed="64"/>
          <bgColor theme="0"/>
        </patternFill>
      </fill>
      <alignment horizontal="center" vertical="bottom" textRotation="0" wrapText="0" indent="0" justifyLastLine="0" shrinkToFit="0"/>
      <border diagonalUp="0" diagonalDown="0">
        <left/>
        <right/>
        <top style="thin">
          <color theme="4"/>
        </top>
        <bottom style="thin">
          <color theme="4"/>
        </bottom>
      </border>
      <protection locked="1" hidden="1"/>
    </dxf>
    <dxf>
      <font>
        <b val="0"/>
        <i val="0"/>
        <strike val="0"/>
        <condense val="0"/>
        <extend val="0"/>
        <outline val="0"/>
        <shadow val="0"/>
        <u val="none"/>
        <vertAlign val="baseline"/>
        <sz val="9"/>
        <color auto="1"/>
        <name val="Calibri"/>
        <scheme val="minor"/>
      </font>
      <alignment horizontal="left" vertical="bottom" textRotation="0" wrapText="0" indent="0" justifyLastLine="0" shrinkToFit="0" readingOrder="0"/>
      <border diagonalUp="0" diagonalDown="0" outline="0">
        <left/>
        <right/>
        <top style="thin">
          <color theme="4"/>
        </top>
        <bottom style="thin">
          <color theme="4"/>
        </bottom>
      </border>
      <protection locked="1" hidden="1"/>
    </dxf>
    <dxf>
      <border>
        <top style="thin">
          <color theme="4"/>
        </top>
      </border>
    </dxf>
    <dxf>
      <border diagonalUp="0" diagonalDown="0">
        <left style="thin">
          <color theme="4"/>
        </left>
        <right style="thin">
          <color theme="4"/>
        </right>
        <top style="thin">
          <color theme="4"/>
        </top>
        <bottom style="thin">
          <color theme="4"/>
        </bottom>
      </border>
    </dxf>
    <dxf>
      <font>
        <strike val="0"/>
        <outline val="0"/>
        <shadow val="0"/>
        <u val="none"/>
        <vertAlign val="baseline"/>
        <sz val="9"/>
        <name val="Calibri"/>
        <scheme val="minor"/>
      </font>
      <protection locked="1" hidden="1"/>
    </dxf>
    <dxf>
      <border>
        <bottom style="thin">
          <color theme="4"/>
        </bottom>
      </border>
    </dxf>
    <dxf>
      <font>
        <strike val="0"/>
        <outline val="0"/>
        <shadow val="0"/>
        <u val="none"/>
        <vertAlign val="baseline"/>
        <sz val="9"/>
        <color theme="0"/>
        <name val="Calibri"/>
        <scheme val="minor"/>
      </font>
      <protection locked="1" hidden="1"/>
    </dxf>
    <dxf>
      <font>
        <strike val="0"/>
        <outline val="0"/>
        <shadow val="0"/>
        <u val="none"/>
        <vertAlign val="baseline"/>
        <sz val="9"/>
        <color auto="1"/>
        <name val="Calibri"/>
        <scheme val="minor"/>
      </font>
      <numFmt numFmtId="169" formatCode="#,##0.0"/>
      <alignment horizontal="center" vertical="bottom" textRotation="0" wrapText="0" indent="0" justifyLastLine="0" shrinkToFit="0" readingOrder="0"/>
      <border diagonalUp="0" diagonalDown="0">
        <left/>
        <right/>
        <top style="thin">
          <color theme="4"/>
        </top>
        <bottom style="thin">
          <color theme="4"/>
        </bottom>
      </border>
      <protection locked="1" hidden="1"/>
    </dxf>
    <dxf>
      <font>
        <strike val="0"/>
        <outline val="0"/>
        <shadow val="0"/>
        <u val="none"/>
        <vertAlign val="baseline"/>
        <sz val="9"/>
        <color auto="1"/>
        <name val="Calibri"/>
        <scheme val="minor"/>
      </font>
      <numFmt numFmtId="169" formatCode="#,##0.0"/>
      <alignment horizontal="center" vertical="bottom" textRotation="0" wrapText="0" indent="0" justifyLastLine="0" shrinkToFit="0" readingOrder="0"/>
      <border diagonalUp="0" diagonalDown="0">
        <left/>
        <right/>
        <top style="thin">
          <color theme="4"/>
        </top>
        <bottom style="thin">
          <color theme="4"/>
        </bottom>
      </border>
      <protection locked="1" hidden="1"/>
    </dxf>
    <dxf>
      <font>
        <strike val="0"/>
        <outline val="0"/>
        <shadow val="0"/>
        <u val="none"/>
        <vertAlign val="baseline"/>
        <sz val="9"/>
        <color auto="1"/>
        <name val="Calibri"/>
        <scheme val="minor"/>
      </font>
      <numFmt numFmtId="169" formatCode="#,##0.0"/>
      <alignment horizontal="center" vertical="bottom" textRotation="0" wrapText="0" indent="0" justifyLastLine="0" shrinkToFit="0" readingOrder="0"/>
      <border diagonalUp="0" diagonalDown="0">
        <left/>
        <right/>
        <top style="thin">
          <color theme="4"/>
        </top>
        <bottom style="thin">
          <color theme="4"/>
        </bottom>
      </border>
      <protection locked="1" hidden="1"/>
    </dxf>
    <dxf>
      <font>
        <strike val="0"/>
        <outline val="0"/>
        <shadow val="0"/>
        <u val="none"/>
        <vertAlign val="baseline"/>
        <sz val="9"/>
        <color auto="1"/>
        <name val="Calibri"/>
        <scheme val="minor"/>
      </font>
      <numFmt numFmtId="169" formatCode="#,##0.0"/>
      <alignment horizontal="center" vertical="bottom" textRotation="0" wrapText="0" indent="0" justifyLastLine="0" shrinkToFit="0" readingOrder="0"/>
      <border diagonalUp="0" diagonalDown="0">
        <left/>
        <right/>
        <top style="thin">
          <color theme="4"/>
        </top>
        <bottom style="thin">
          <color theme="4"/>
        </bottom>
      </border>
      <protection locked="1" hidden="1"/>
    </dxf>
    <dxf>
      <font>
        <strike val="0"/>
        <outline val="0"/>
        <shadow val="0"/>
        <u val="none"/>
        <vertAlign val="baseline"/>
        <sz val="9"/>
        <color auto="1"/>
        <name val="Calibri"/>
        <scheme val="minor"/>
      </font>
      <numFmt numFmtId="169" formatCode="#,##0.0"/>
      <alignment horizontal="center" vertical="bottom" textRotation="0" wrapText="0" indent="0" justifyLastLine="0" shrinkToFit="0" readingOrder="0"/>
      <border diagonalUp="0" diagonalDown="0">
        <left/>
        <right/>
        <top style="thin">
          <color theme="4"/>
        </top>
        <bottom style="thin">
          <color theme="4"/>
        </bottom>
      </border>
      <protection locked="1" hidden="1"/>
    </dxf>
    <dxf>
      <font>
        <b val="0"/>
        <i val="0"/>
        <strike val="0"/>
        <condense val="0"/>
        <extend val="0"/>
        <outline val="0"/>
        <shadow val="0"/>
        <u val="none"/>
        <vertAlign val="baseline"/>
        <sz val="9"/>
        <color auto="1"/>
        <name val="Calibri"/>
        <scheme val="minor"/>
      </font>
      <numFmt numFmtId="169" formatCode="#,##0.0"/>
      <alignment horizontal="center" vertical="bottom" textRotation="0" wrapText="0" indent="0" justifyLastLine="0" shrinkToFit="0" readingOrder="0"/>
      <border diagonalUp="0" diagonalDown="0">
        <left/>
        <right/>
        <top style="thin">
          <color theme="4"/>
        </top>
        <bottom style="thin">
          <color theme="4"/>
        </bottom>
      </border>
      <protection locked="1" hidden="1"/>
    </dxf>
    <dxf>
      <font>
        <b val="0"/>
        <i val="0"/>
        <strike val="0"/>
        <condense val="0"/>
        <extend val="0"/>
        <outline val="0"/>
        <shadow val="0"/>
        <u val="none"/>
        <vertAlign val="baseline"/>
        <sz val="9"/>
        <color auto="1"/>
        <name val="Calibri"/>
        <scheme val="minor"/>
      </font>
      <numFmt numFmtId="3" formatCode="#,##0"/>
      <alignment horizontal="center" vertical="bottom" textRotation="0" wrapText="0" indent="0" justifyLastLine="0" shrinkToFit="0" readingOrder="0"/>
      <border diagonalUp="0" diagonalDown="0">
        <left/>
        <right/>
        <top style="thin">
          <color theme="4"/>
        </top>
        <bottom style="thin">
          <color theme="4"/>
        </bottom>
      </border>
      <protection locked="1" hidden="1"/>
    </dxf>
    <dxf>
      <font>
        <strike val="0"/>
        <outline val="0"/>
        <shadow val="0"/>
        <u val="none"/>
        <vertAlign val="baseline"/>
        <sz val="9"/>
        <color auto="1"/>
        <name val="Calibri"/>
        <scheme val="minor"/>
      </font>
      <numFmt numFmtId="3" formatCode="#,##0"/>
      <alignment horizontal="center" vertical="bottom" textRotation="0" wrapText="0" indent="0" justifyLastLine="0" shrinkToFit="0" readingOrder="0"/>
      <border diagonalUp="0" diagonalDown="0">
        <left/>
        <right/>
        <top style="thin">
          <color theme="4"/>
        </top>
        <bottom style="thin">
          <color theme="4"/>
        </bottom>
      </border>
      <protection locked="1" hidden="1"/>
    </dxf>
    <dxf>
      <font>
        <strike val="0"/>
        <outline val="0"/>
        <shadow val="0"/>
        <u val="none"/>
        <vertAlign val="baseline"/>
        <sz val="9"/>
        <color auto="1"/>
        <name val="Calibri"/>
        <scheme val="minor"/>
      </font>
      <numFmt numFmtId="3" formatCode="#,##0"/>
      <alignment horizontal="center" vertical="bottom" textRotation="0" wrapText="0" indent="0" justifyLastLine="0" shrinkToFit="0" readingOrder="0"/>
      <border diagonalUp="0" diagonalDown="0">
        <left/>
        <right/>
        <top style="thin">
          <color theme="4"/>
        </top>
        <bottom style="thin">
          <color theme="4"/>
        </bottom>
      </border>
      <protection locked="1" hidden="1"/>
    </dxf>
    <dxf>
      <font>
        <strike val="0"/>
        <outline val="0"/>
        <shadow val="0"/>
        <u val="none"/>
        <vertAlign val="baseline"/>
        <sz val="9"/>
        <color auto="1"/>
        <name val="Calibri"/>
        <scheme val="minor"/>
      </font>
      <numFmt numFmtId="3" formatCode="#,##0"/>
      <alignment horizontal="center" vertical="bottom" textRotation="0" wrapText="0" indent="0" justifyLastLine="0" shrinkToFit="0" readingOrder="0"/>
      <border diagonalUp="0" diagonalDown="0">
        <left/>
        <right/>
        <top style="thin">
          <color theme="4"/>
        </top>
        <bottom style="thin">
          <color theme="4"/>
        </bottom>
      </border>
      <protection locked="1" hidden="1"/>
    </dxf>
    <dxf>
      <font>
        <strike val="0"/>
        <outline val="0"/>
        <shadow val="0"/>
        <u val="none"/>
        <vertAlign val="baseline"/>
        <sz val="9"/>
        <color auto="1"/>
        <name val="Calibri"/>
        <scheme val="minor"/>
      </font>
      <numFmt numFmtId="3" formatCode="#,##0"/>
      <alignment horizontal="center" vertical="bottom" textRotation="0" wrapText="0" indent="0" justifyLastLine="0" shrinkToFit="0" readingOrder="0"/>
      <border diagonalUp="0" diagonalDown="0">
        <left/>
        <right/>
        <top style="thin">
          <color theme="4"/>
        </top>
        <bottom style="thin">
          <color theme="4"/>
        </bottom>
      </border>
      <protection locked="1" hidden="1"/>
    </dxf>
    <dxf>
      <font>
        <strike val="0"/>
        <outline val="0"/>
        <shadow val="0"/>
        <u val="none"/>
        <vertAlign val="baseline"/>
        <sz val="9"/>
        <color auto="1"/>
        <name val="Calibri"/>
        <scheme val="minor"/>
      </font>
      <numFmt numFmtId="3" formatCode="#,##0"/>
      <alignment horizontal="center" vertical="bottom" textRotation="0" wrapText="0" indent="0" justifyLastLine="0" shrinkToFit="0" readingOrder="0"/>
      <border diagonalUp="0" diagonalDown="0">
        <left/>
        <right/>
        <top style="thin">
          <color theme="4"/>
        </top>
        <bottom style="thin">
          <color theme="4"/>
        </bottom>
      </border>
      <protection locked="1" hidden="1"/>
    </dxf>
    <dxf>
      <font>
        <b val="0"/>
        <i val="0"/>
        <strike val="0"/>
        <condense val="0"/>
        <extend val="0"/>
        <outline val="0"/>
        <shadow val="0"/>
        <u val="none"/>
        <vertAlign val="baseline"/>
        <sz val="9"/>
        <color theme="1"/>
        <name val="Calibri"/>
        <scheme val="minor"/>
      </font>
      <alignment horizontal="left" vertical="bottom" textRotation="0" wrapText="0" indent="0" justifyLastLine="0" shrinkToFit="0" readingOrder="0"/>
      <border diagonalUp="0" diagonalDown="0" outline="0">
        <left/>
        <right/>
        <top style="thin">
          <color theme="4"/>
        </top>
        <bottom style="thin">
          <color theme="4"/>
        </bottom>
      </border>
      <protection locked="1" hidden="1"/>
    </dxf>
    <dxf>
      <border>
        <top style="thin">
          <color theme="4"/>
        </top>
      </border>
    </dxf>
    <dxf>
      <border diagonalUp="0" diagonalDown="0">
        <left style="thin">
          <color theme="4"/>
        </left>
        <right style="thin">
          <color theme="4"/>
        </right>
        <top style="thin">
          <color theme="4"/>
        </top>
        <bottom style="thin">
          <color theme="4"/>
        </bottom>
      </border>
    </dxf>
    <dxf>
      <font>
        <strike val="0"/>
        <outline val="0"/>
        <shadow val="0"/>
        <u val="none"/>
        <vertAlign val="baseline"/>
        <sz val="9"/>
        <name val="Calibri"/>
        <scheme val="minor"/>
      </font>
      <protection locked="1" hidden="1"/>
    </dxf>
    <dxf>
      <border>
        <bottom style="thin">
          <color theme="4"/>
        </bottom>
      </border>
    </dxf>
    <dxf>
      <font>
        <b val="0"/>
        <i val="0"/>
        <strike val="0"/>
        <condense val="0"/>
        <extend val="0"/>
        <outline val="0"/>
        <shadow val="0"/>
        <u val="none"/>
        <vertAlign val="baseline"/>
        <sz val="9"/>
        <color theme="0"/>
        <name val="Calibri"/>
        <scheme val="minor"/>
      </font>
      <alignment horizontal="justify" vertical="bottom" textRotation="0" wrapText="1" indent="0" justifyLastLine="0" shrinkToFit="0" readingOrder="0"/>
      <protection locked="1" hidden="1"/>
    </dxf>
    <dxf>
      <font>
        <strike val="0"/>
        <outline val="0"/>
        <shadow val="0"/>
        <u val="none"/>
        <vertAlign val="baseline"/>
        <sz val="9"/>
        <color auto="1"/>
        <name val="Calibri"/>
        <scheme val="minor"/>
      </font>
      <numFmt numFmtId="3" formatCode="#,##0"/>
      <alignment horizontal="center" vertical="bottom" textRotation="0" wrapText="0" indent="0" justifyLastLine="0" shrinkToFit="0" readingOrder="0"/>
      <border diagonalUp="0" diagonalDown="0">
        <left/>
        <right/>
        <top style="thin">
          <color theme="4"/>
        </top>
        <bottom style="thin">
          <color theme="4"/>
        </bottom>
      </border>
      <protection locked="1" hidden="1"/>
    </dxf>
    <dxf>
      <font>
        <strike val="0"/>
        <outline val="0"/>
        <shadow val="0"/>
        <u val="none"/>
        <vertAlign val="baseline"/>
        <sz val="9"/>
        <color auto="1"/>
        <name val="Calibri"/>
        <scheme val="minor"/>
      </font>
      <numFmt numFmtId="3" formatCode="#,##0"/>
      <alignment horizontal="center" vertical="bottom" textRotation="0" wrapText="0" indent="0" justifyLastLine="0" shrinkToFit="0" readingOrder="0"/>
      <border diagonalUp="0" diagonalDown="0">
        <left/>
        <right/>
        <top style="thin">
          <color theme="4"/>
        </top>
        <bottom style="thin">
          <color theme="4"/>
        </bottom>
      </border>
      <protection locked="1" hidden="1"/>
    </dxf>
    <dxf>
      <font>
        <b val="0"/>
        <i val="0"/>
        <strike val="0"/>
        <condense val="0"/>
        <extend val="0"/>
        <outline val="0"/>
        <shadow val="0"/>
        <u val="none"/>
        <vertAlign val="baseline"/>
        <sz val="9"/>
        <color theme="1"/>
        <name val="Calibri"/>
        <scheme val="minor"/>
      </font>
      <alignment horizontal="left" vertical="bottom" textRotation="0" wrapText="0" indent="0" justifyLastLine="0" shrinkToFit="0" readingOrder="0"/>
      <border diagonalUp="0" diagonalDown="0" outline="0">
        <left/>
        <right/>
        <top style="thin">
          <color theme="4"/>
        </top>
        <bottom style="thin">
          <color theme="4"/>
        </bottom>
      </border>
      <protection locked="1" hidden="1"/>
    </dxf>
    <dxf>
      <border>
        <top style="thin">
          <color theme="4"/>
        </top>
      </border>
    </dxf>
    <dxf>
      <border diagonalUp="0" diagonalDown="0">
        <left style="thin">
          <color theme="4"/>
        </left>
        <right style="thin">
          <color theme="4"/>
        </right>
        <top style="thin">
          <color theme="4"/>
        </top>
        <bottom style="thin">
          <color theme="4"/>
        </bottom>
      </border>
    </dxf>
    <dxf>
      <font>
        <strike val="0"/>
        <outline val="0"/>
        <shadow val="0"/>
        <u val="none"/>
        <vertAlign val="baseline"/>
        <sz val="9"/>
        <name val="Calibri"/>
        <scheme val="minor"/>
      </font>
      <protection locked="1" hidden="1"/>
    </dxf>
    <dxf>
      <border>
        <bottom style="thin">
          <color theme="4"/>
        </bottom>
      </border>
    </dxf>
    <dxf>
      <font>
        <strike val="0"/>
        <outline val="0"/>
        <shadow val="0"/>
        <u val="none"/>
        <vertAlign val="baseline"/>
        <sz val="9"/>
        <color theme="0"/>
        <name val="Calibri"/>
        <scheme val="minor"/>
      </font>
      <protection locked="1" hidden="1"/>
    </dxf>
    <dxf>
      <font>
        <b val="0"/>
        <i val="0"/>
        <strike val="0"/>
        <condense val="0"/>
        <extend val="0"/>
        <outline val="0"/>
        <shadow val="0"/>
        <u val="none"/>
        <vertAlign val="baseline"/>
        <sz val="9"/>
        <color auto="1"/>
        <name val="Calibri"/>
        <scheme val="minor"/>
      </font>
      <numFmt numFmtId="3" formatCode="#,##0"/>
      <alignment horizontal="center" vertical="bottom" textRotation="0" wrapText="0" indent="0" justifyLastLine="0" shrinkToFit="0" readingOrder="0"/>
      <border diagonalUp="0" diagonalDown="0" outline="0">
        <left/>
        <right/>
        <top style="thin">
          <color theme="4"/>
        </top>
        <bottom style="thin">
          <color theme="4"/>
        </bottom>
      </border>
      <protection locked="1" hidden="1"/>
    </dxf>
    <dxf>
      <font>
        <b val="0"/>
        <i val="0"/>
        <strike val="0"/>
        <condense val="0"/>
        <extend val="0"/>
        <outline val="0"/>
        <shadow val="0"/>
        <u val="none"/>
        <vertAlign val="baseline"/>
        <sz val="9"/>
        <color auto="1"/>
        <name val="Calibri"/>
        <scheme val="minor"/>
      </font>
      <numFmt numFmtId="3" formatCode="#,##0"/>
      <alignment horizontal="center" vertical="bottom" textRotation="0" wrapText="0" indent="0" justifyLastLine="0" shrinkToFit="0" readingOrder="0"/>
      <border diagonalUp="0" diagonalDown="0" outline="0">
        <left/>
        <right/>
        <top style="thin">
          <color theme="4"/>
        </top>
        <bottom style="thin">
          <color theme="4"/>
        </bottom>
      </border>
      <protection locked="1" hidden="1"/>
    </dxf>
    <dxf>
      <font>
        <b val="0"/>
        <i val="0"/>
        <strike val="0"/>
        <condense val="0"/>
        <extend val="0"/>
        <outline val="0"/>
        <shadow val="0"/>
        <u val="none"/>
        <vertAlign val="baseline"/>
        <sz val="9"/>
        <color auto="1"/>
        <name val="Calibri"/>
        <scheme val="minor"/>
      </font>
      <numFmt numFmtId="3" formatCode="#,##0"/>
      <alignment horizontal="center" vertical="bottom" textRotation="0" wrapText="0" indent="0" justifyLastLine="0" shrinkToFit="0" readingOrder="0"/>
      <border diagonalUp="0" diagonalDown="0" outline="0">
        <left/>
        <right/>
        <top style="thin">
          <color theme="4"/>
        </top>
        <bottom style="thin">
          <color theme="4"/>
        </bottom>
      </border>
      <protection locked="1" hidden="1"/>
    </dxf>
    <dxf>
      <font>
        <b val="0"/>
        <i val="0"/>
        <strike val="0"/>
        <condense val="0"/>
        <extend val="0"/>
        <outline val="0"/>
        <shadow val="0"/>
        <u val="none"/>
        <vertAlign val="baseline"/>
        <sz val="9"/>
        <color auto="1"/>
        <name val="Calibri"/>
        <scheme val="minor"/>
      </font>
      <numFmt numFmtId="3" formatCode="#,##0"/>
      <alignment horizontal="center" vertical="bottom" textRotation="0" wrapText="0" indent="0" justifyLastLine="0" shrinkToFit="0" readingOrder="0"/>
      <border diagonalUp="0" diagonalDown="0" outline="0">
        <left/>
        <right/>
        <top style="thin">
          <color theme="4"/>
        </top>
        <bottom style="thin">
          <color theme="4"/>
        </bottom>
      </border>
      <protection locked="1" hidden="1"/>
    </dxf>
    <dxf>
      <font>
        <b val="0"/>
        <i val="0"/>
        <strike val="0"/>
        <condense val="0"/>
        <extend val="0"/>
        <outline val="0"/>
        <shadow val="0"/>
        <u val="none"/>
        <vertAlign val="baseline"/>
        <sz val="9"/>
        <color auto="1"/>
        <name val="Calibri"/>
        <scheme val="minor"/>
      </font>
      <numFmt numFmtId="3" formatCode="#,##0"/>
      <alignment horizontal="center" vertical="bottom" textRotation="0" wrapText="0" indent="0" justifyLastLine="0" shrinkToFit="0" readingOrder="0"/>
      <border diagonalUp="0" diagonalDown="0" outline="0">
        <left/>
        <right/>
        <top style="thin">
          <color theme="4"/>
        </top>
        <bottom style="thin">
          <color theme="4"/>
        </bottom>
      </border>
      <protection locked="1" hidden="1"/>
    </dxf>
    <dxf>
      <font>
        <b val="0"/>
        <i val="0"/>
        <strike val="0"/>
        <condense val="0"/>
        <extend val="0"/>
        <outline val="0"/>
        <shadow val="0"/>
        <u val="none"/>
        <vertAlign val="baseline"/>
        <sz val="9"/>
        <color auto="1"/>
        <name val="Calibri"/>
        <scheme val="minor"/>
      </font>
      <numFmt numFmtId="2" formatCode="0.00"/>
      <alignment horizontal="center" vertical="bottom" textRotation="0" wrapText="0" indent="0" justifyLastLine="0" shrinkToFit="0" readingOrder="0"/>
      <border diagonalUp="0" diagonalDown="0">
        <left/>
        <right/>
        <top style="thin">
          <color theme="4"/>
        </top>
        <bottom style="thin">
          <color theme="4"/>
        </bottom>
      </border>
      <protection locked="1" hidden="1"/>
    </dxf>
    <dxf>
      <font>
        <b val="0"/>
        <i val="0"/>
        <strike val="0"/>
        <condense val="0"/>
        <extend val="0"/>
        <outline val="0"/>
        <shadow val="0"/>
        <u val="none"/>
        <vertAlign val="baseline"/>
        <sz val="9"/>
        <color auto="1"/>
        <name val="Calibri"/>
        <scheme val="minor"/>
      </font>
      <numFmt numFmtId="2" formatCode="0.00"/>
      <alignment horizontal="center" vertical="bottom" textRotation="0" wrapText="0" indent="0" justifyLastLine="0" shrinkToFit="0" readingOrder="0"/>
      <border diagonalUp="0" diagonalDown="0">
        <left/>
        <right/>
        <top style="thin">
          <color theme="4"/>
        </top>
        <bottom style="thin">
          <color theme="4"/>
        </bottom>
      </border>
      <protection locked="1" hidden="1"/>
    </dxf>
    <dxf>
      <font>
        <b val="0"/>
        <i val="0"/>
        <strike val="0"/>
        <condense val="0"/>
        <extend val="0"/>
        <outline val="0"/>
        <shadow val="0"/>
        <u val="none"/>
        <vertAlign val="baseline"/>
        <sz val="9"/>
        <color auto="1"/>
        <name val="Calibri"/>
        <scheme val="minor"/>
      </font>
      <numFmt numFmtId="2" formatCode="0.00"/>
      <alignment horizontal="center" vertical="bottom" textRotation="0" wrapText="0" indent="0" justifyLastLine="0" shrinkToFit="0" readingOrder="0"/>
      <border diagonalUp="0" diagonalDown="0">
        <left/>
        <right/>
        <top style="thin">
          <color theme="4"/>
        </top>
        <bottom style="thin">
          <color theme="4"/>
        </bottom>
      </border>
      <protection locked="1" hidden="1"/>
    </dxf>
    <dxf>
      <font>
        <b val="0"/>
        <i val="0"/>
        <strike val="0"/>
        <condense val="0"/>
        <extend val="0"/>
        <outline val="0"/>
        <shadow val="0"/>
        <u val="none"/>
        <vertAlign val="baseline"/>
        <sz val="9"/>
        <color auto="1"/>
        <name val="Calibri"/>
        <scheme val="minor"/>
      </font>
      <numFmt numFmtId="2" formatCode="0.00"/>
      <alignment horizontal="center" vertical="bottom" textRotation="0" wrapText="0" indent="0" justifyLastLine="0" shrinkToFit="0" readingOrder="0"/>
      <border diagonalUp="0" diagonalDown="0">
        <left/>
        <right/>
        <top style="thin">
          <color theme="4"/>
        </top>
        <bottom style="thin">
          <color theme="4"/>
        </bottom>
      </border>
      <protection locked="1" hidden="1"/>
    </dxf>
    <dxf>
      <font>
        <b val="0"/>
        <i val="0"/>
        <strike val="0"/>
        <condense val="0"/>
        <extend val="0"/>
        <outline val="0"/>
        <shadow val="0"/>
        <u val="none"/>
        <vertAlign val="baseline"/>
        <sz val="9"/>
        <color auto="1"/>
        <name val="Calibri"/>
        <scheme val="minor"/>
      </font>
      <numFmt numFmtId="2" formatCode="0.00"/>
      <alignment horizontal="center" vertical="bottom" textRotation="0" wrapText="0" indent="0" justifyLastLine="0" shrinkToFit="0" readingOrder="0"/>
      <border diagonalUp="0" diagonalDown="0">
        <left/>
        <right/>
        <top style="thin">
          <color theme="4"/>
        </top>
        <bottom style="thin">
          <color theme="4"/>
        </bottom>
      </border>
      <protection locked="1" hidden="1"/>
    </dxf>
    <dxf>
      <font>
        <b val="0"/>
        <i val="0"/>
        <strike val="0"/>
        <condense val="0"/>
        <extend val="0"/>
        <outline val="0"/>
        <shadow val="0"/>
        <u val="none"/>
        <vertAlign val="baseline"/>
        <sz val="9"/>
        <color auto="1"/>
        <name val="Calibri"/>
        <scheme val="minor"/>
      </font>
      <numFmt numFmtId="3" formatCode="#,##0"/>
      <alignment horizontal="center" vertical="bottom" textRotation="0" wrapText="0" indent="0" justifyLastLine="0" shrinkToFit="0" readingOrder="0"/>
      <border diagonalUp="0" diagonalDown="0">
        <left/>
        <right/>
        <top style="thin">
          <color theme="4"/>
        </top>
        <bottom style="thin">
          <color theme="4"/>
        </bottom>
      </border>
      <protection locked="1" hidden="1"/>
    </dxf>
    <dxf>
      <font>
        <b val="0"/>
        <i val="0"/>
        <strike val="0"/>
        <condense val="0"/>
        <extend val="0"/>
        <outline val="0"/>
        <shadow val="0"/>
        <u val="none"/>
        <vertAlign val="baseline"/>
        <sz val="9"/>
        <color auto="1"/>
        <name val="Calibri"/>
        <scheme val="minor"/>
      </font>
      <numFmt numFmtId="3" formatCode="#,##0"/>
      <alignment horizontal="center" vertical="bottom" textRotation="0" wrapText="0" indent="0" justifyLastLine="0" shrinkToFit="0" readingOrder="0"/>
      <border diagonalUp="0" diagonalDown="0">
        <left/>
        <right/>
        <top style="thin">
          <color theme="4"/>
        </top>
        <bottom style="thin">
          <color theme="4"/>
        </bottom>
      </border>
      <protection locked="1" hidden="1"/>
    </dxf>
    <dxf>
      <font>
        <b val="0"/>
        <i val="0"/>
        <strike val="0"/>
        <condense val="0"/>
        <extend val="0"/>
        <outline val="0"/>
        <shadow val="0"/>
        <u val="none"/>
        <vertAlign val="baseline"/>
        <sz val="9"/>
        <color auto="1"/>
        <name val="Calibri"/>
        <scheme val="minor"/>
      </font>
      <numFmt numFmtId="3" formatCode="#,##0"/>
      <alignment horizontal="center" vertical="bottom" textRotation="0" wrapText="0" indent="0" justifyLastLine="0" shrinkToFit="0" readingOrder="0"/>
      <border diagonalUp="0" diagonalDown="0">
        <left/>
        <right/>
        <top style="thin">
          <color theme="4"/>
        </top>
        <bottom style="thin">
          <color theme="4"/>
        </bottom>
      </border>
      <protection locked="1" hidden="1"/>
    </dxf>
    <dxf>
      <font>
        <b val="0"/>
        <i val="0"/>
        <strike val="0"/>
        <condense val="0"/>
        <extend val="0"/>
        <outline val="0"/>
        <shadow val="0"/>
        <u val="none"/>
        <vertAlign val="baseline"/>
        <sz val="9"/>
        <color auto="1"/>
        <name val="Calibri"/>
        <scheme val="minor"/>
      </font>
      <numFmt numFmtId="3" formatCode="#,##0"/>
      <alignment horizontal="center" vertical="bottom" textRotation="0" wrapText="0" indent="0" justifyLastLine="0" shrinkToFit="0" readingOrder="0"/>
      <border diagonalUp="0" diagonalDown="0">
        <left/>
        <right/>
        <top style="thin">
          <color theme="4"/>
        </top>
        <bottom style="thin">
          <color theme="4"/>
        </bottom>
      </border>
      <protection locked="1" hidden="1"/>
    </dxf>
    <dxf>
      <font>
        <b val="0"/>
        <i val="0"/>
        <strike val="0"/>
        <condense val="0"/>
        <extend val="0"/>
        <outline val="0"/>
        <shadow val="0"/>
        <u val="none"/>
        <vertAlign val="baseline"/>
        <sz val="9"/>
        <color auto="1"/>
        <name val="Calibri"/>
        <scheme val="minor"/>
      </font>
      <numFmt numFmtId="3" formatCode="#,##0"/>
      <alignment horizontal="center" vertical="bottom" textRotation="0" wrapText="0" indent="0" justifyLastLine="0" shrinkToFit="0" readingOrder="0"/>
      <border diagonalUp="0" diagonalDown="0">
        <left/>
        <right/>
        <top style="thin">
          <color theme="4"/>
        </top>
        <bottom style="thin">
          <color theme="4"/>
        </bottom>
      </border>
      <protection locked="1" hidden="1"/>
    </dxf>
    <dxf>
      <font>
        <b val="0"/>
        <i val="0"/>
        <strike val="0"/>
        <condense val="0"/>
        <extend val="0"/>
        <outline val="0"/>
        <shadow val="0"/>
        <u val="none"/>
        <vertAlign val="baseline"/>
        <sz val="9"/>
        <color theme="0"/>
        <name val="Calibri"/>
        <scheme val="minor"/>
      </font>
      <alignment horizontal="left" vertical="bottom" textRotation="0" wrapText="0" indent="0" justifyLastLine="0" shrinkToFit="0" readingOrder="0"/>
      <border diagonalUp="0" diagonalDown="0" outline="0">
        <left/>
        <right/>
        <top style="thin">
          <color theme="4"/>
        </top>
        <bottom style="thin">
          <color theme="4"/>
        </bottom>
      </border>
      <protection locked="1" hidden="1"/>
    </dxf>
    <dxf>
      <border>
        <top style="thin">
          <color theme="4"/>
        </top>
      </border>
    </dxf>
    <dxf>
      <border diagonalUp="0" diagonalDown="0">
        <left style="thin">
          <color theme="4"/>
        </left>
        <right style="thin">
          <color theme="4"/>
        </right>
        <top style="thin">
          <color theme="4"/>
        </top>
        <bottom style="thin">
          <color theme="4"/>
        </bottom>
      </border>
    </dxf>
    <dxf>
      <font>
        <b val="0"/>
        <i val="0"/>
        <strike val="0"/>
        <condense val="0"/>
        <extend val="0"/>
        <outline val="0"/>
        <shadow val="0"/>
        <u val="none"/>
        <vertAlign val="baseline"/>
        <sz val="9"/>
        <color theme="0"/>
        <name val="Calibri"/>
        <scheme val="minor"/>
      </font>
      <protection locked="1" hidden="1"/>
    </dxf>
    <dxf>
      <border>
        <bottom style="thin">
          <color theme="4"/>
        </bottom>
      </border>
    </dxf>
    <dxf>
      <font>
        <b val="0"/>
        <i val="0"/>
        <strike val="0"/>
        <condense val="0"/>
        <extend val="0"/>
        <outline val="0"/>
        <shadow val="0"/>
        <u val="none"/>
        <vertAlign val="baseline"/>
        <sz val="9"/>
        <color theme="0"/>
        <name val="Calibri"/>
        <scheme val="minor"/>
      </font>
      <alignment horizontal="left" vertical="bottom" textRotation="0" wrapText="1" indent="0" justifyLastLine="0" shrinkToFit="0" readingOrder="0"/>
      <border diagonalUp="0" diagonalDown="0" outline="0">
        <left style="thin">
          <color theme="4"/>
        </left>
        <right style="thin">
          <color theme="4"/>
        </right>
        <top/>
        <bottom/>
      </border>
      <protection locked="1" hidden="1"/>
    </dxf>
    <dxf>
      <font>
        <strike val="0"/>
        <outline val="0"/>
        <shadow val="0"/>
        <u val="none"/>
        <vertAlign val="baseline"/>
        <sz val="9"/>
        <color auto="1"/>
        <name val="Calibri"/>
        <scheme val="minor"/>
      </font>
      <numFmt numFmtId="3" formatCode="#,##0"/>
      <fill>
        <patternFill>
          <fgColor indexed="64"/>
          <bgColor theme="0"/>
        </patternFill>
      </fill>
      <alignment horizontal="center" vertical="bottom" textRotation="0" wrapText="0" indent="0" justifyLastLine="0" shrinkToFit="0" readingOrder="0"/>
      <border diagonalUp="0" diagonalDown="0">
        <left/>
        <right/>
        <top style="thin">
          <color theme="4"/>
        </top>
        <bottom style="thin">
          <color theme="4"/>
        </bottom>
      </border>
      <protection locked="1" hidden="1"/>
    </dxf>
    <dxf>
      <font>
        <strike val="0"/>
        <outline val="0"/>
        <shadow val="0"/>
        <u val="none"/>
        <vertAlign val="baseline"/>
        <sz val="9"/>
        <color auto="1"/>
        <name val="Calibri"/>
        <scheme val="minor"/>
      </font>
      <numFmt numFmtId="3" formatCode="#,##0"/>
      <fill>
        <patternFill>
          <fgColor indexed="64"/>
          <bgColor theme="0"/>
        </patternFill>
      </fill>
      <alignment horizontal="center" vertical="bottom" textRotation="0" wrapText="0" indent="0" justifyLastLine="0" shrinkToFit="0" readingOrder="0"/>
      <border diagonalUp="0" diagonalDown="0">
        <left/>
        <right/>
        <top style="thin">
          <color theme="4"/>
        </top>
        <bottom style="thin">
          <color theme="4"/>
        </bottom>
      </border>
      <protection locked="1" hidden="1"/>
    </dxf>
    <dxf>
      <font>
        <strike val="0"/>
        <outline val="0"/>
        <shadow val="0"/>
        <u val="none"/>
        <vertAlign val="baseline"/>
        <sz val="9"/>
        <color auto="1"/>
        <name val="Calibri"/>
        <scheme val="minor"/>
      </font>
      <numFmt numFmtId="3" formatCode="#,##0"/>
      <fill>
        <patternFill patternType="solid">
          <fgColor indexed="64"/>
          <bgColor theme="0"/>
        </patternFill>
      </fill>
      <alignment horizontal="center" vertical="bottom" textRotation="0" wrapText="0" indent="0" justifyLastLine="0" shrinkToFit="0" readingOrder="0"/>
      <border diagonalUp="0" diagonalDown="0">
        <left/>
        <right/>
        <top style="thin">
          <color theme="4"/>
        </top>
        <bottom style="thin">
          <color theme="4"/>
        </bottom>
      </border>
      <protection locked="1" hidden="1"/>
    </dxf>
    <dxf>
      <font>
        <strike val="0"/>
        <outline val="0"/>
        <shadow val="0"/>
        <u val="none"/>
        <vertAlign val="baseline"/>
        <sz val="9"/>
        <color auto="1"/>
        <name val="Calibri"/>
        <scheme val="minor"/>
      </font>
      <numFmt numFmtId="3" formatCode="#,##0"/>
      <fill>
        <patternFill>
          <fgColor indexed="64"/>
          <bgColor theme="0"/>
        </patternFill>
      </fill>
      <alignment horizontal="center" vertical="bottom" textRotation="0" wrapText="0" indent="0" justifyLastLine="0" shrinkToFit="0" readingOrder="0"/>
      <border diagonalUp="0" diagonalDown="0">
        <left/>
        <right/>
        <top style="thin">
          <color theme="4"/>
        </top>
        <bottom style="thin">
          <color theme="4"/>
        </bottom>
      </border>
      <protection locked="1" hidden="1"/>
    </dxf>
    <dxf>
      <font>
        <strike val="0"/>
        <outline val="0"/>
        <shadow val="0"/>
        <u val="none"/>
        <vertAlign val="baseline"/>
        <sz val="9"/>
        <color auto="1"/>
        <name val="Calibri"/>
        <scheme val="minor"/>
      </font>
      <numFmt numFmtId="3" formatCode="#,##0"/>
      <fill>
        <patternFill patternType="solid">
          <fgColor indexed="64"/>
          <bgColor theme="0"/>
        </patternFill>
      </fill>
      <alignment horizontal="center" vertical="bottom" textRotation="0" wrapText="0" indent="0" justifyLastLine="0" shrinkToFit="0" readingOrder="0"/>
      <border diagonalUp="0" diagonalDown="0">
        <left/>
        <right/>
        <top style="thin">
          <color theme="4"/>
        </top>
        <bottom style="thin">
          <color theme="4"/>
        </bottom>
      </border>
      <protection locked="1" hidden="1"/>
    </dxf>
    <dxf>
      <font>
        <b val="0"/>
        <i val="0"/>
        <strike val="0"/>
        <condense val="0"/>
        <extend val="0"/>
        <outline val="0"/>
        <shadow val="0"/>
        <u val="none"/>
        <vertAlign val="baseline"/>
        <sz val="9"/>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top style="thin">
          <color theme="4"/>
        </top>
        <bottom style="thin">
          <color theme="4"/>
        </bottom>
      </border>
      <protection locked="1" hidden="1"/>
    </dxf>
    <dxf>
      <border>
        <top style="thin">
          <color theme="4"/>
        </top>
      </border>
    </dxf>
    <dxf>
      <border diagonalUp="0" diagonalDown="0">
        <left style="thin">
          <color theme="4"/>
        </left>
        <right style="thin">
          <color theme="4"/>
        </right>
        <top style="thin">
          <color theme="4"/>
        </top>
        <bottom style="thin">
          <color theme="4"/>
        </bottom>
      </border>
    </dxf>
    <dxf>
      <font>
        <strike val="0"/>
        <outline val="0"/>
        <shadow val="0"/>
        <u val="none"/>
        <vertAlign val="baseline"/>
        <sz val="9"/>
        <name val="Calibri"/>
        <scheme val="minor"/>
      </font>
      <fill>
        <patternFill>
          <fgColor indexed="64"/>
          <bgColor theme="0"/>
        </patternFill>
      </fill>
      <protection locked="1" hidden="1"/>
    </dxf>
    <dxf>
      <border>
        <bottom style="thin">
          <color theme="4"/>
        </bottom>
      </border>
    </dxf>
    <dxf>
      <font>
        <b val="0"/>
        <i val="0"/>
        <strike val="0"/>
        <condense val="0"/>
        <extend val="0"/>
        <outline val="0"/>
        <shadow val="0"/>
        <u val="none"/>
        <vertAlign val="baseline"/>
        <sz val="9"/>
        <color theme="0"/>
        <name val="Calibri"/>
        <scheme val="minor"/>
      </font>
      <alignment horizontal="left" vertical="bottom" textRotation="0" wrapText="1" indent="0" justifyLastLine="0" shrinkToFit="0" readingOrder="0"/>
      <protection locked="1" hidden="1"/>
    </dxf>
    <dxf>
      <font>
        <strike val="0"/>
        <outline val="0"/>
        <shadow val="0"/>
        <u val="none"/>
        <vertAlign val="baseline"/>
        <sz val="9"/>
        <color auto="1"/>
        <name val="Calibri"/>
        <scheme val="minor"/>
      </font>
      <numFmt numFmtId="3" formatCode="#,##0"/>
      <alignment horizontal="center" vertical="bottom" textRotation="0" wrapText="0" indent="0" justifyLastLine="0" shrinkToFit="0" readingOrder="0"/>
      <border diagonalUp="0" diagonalDown="0">
        <left/>
        <right/>
        <top style="thin">
          <color theme="4"/>
        </top>
        <bottom style="thin">
          <color theme="4"/>
        </bottom>
      </border>
      <protection locked="1" hidden="1"/>
    </dxf>
    <dxf>
      <font>
        <strike val="0"/>
        <outline val="0"/>
        <shadow val="0"/>
        <u val="none"/>
        <vertAlign val="baseline"/>
        <sz val="9"/>
        <color auto="1"/>
        <name val="Calibri"/>
        <scheme val="minor"/>
      </font>
      <numFmt numFmtId="3" formatCode="#,##0"/>
      <alignment horizontal="center" vertical="bottom" textRotation="0" wrapText="0" indent="0" justifyLastLine="0" shrinkToFit="0" readingOrder="0"/>
      <border diagonalUp="0" diagonalDown="0">
        <left/>
        <right/>
        <top style="thin">
          <color theme="4"/>
        </top>
        <bottom style="thin">
          <color theme="4"/>
        </bottom>
      </border>
      <protection locked="1" hidden="1"/>
    </dxf>
    <dxf>
      <font>
        <strike val="0"/>
        <outline val="0"/>
        <shadow val="0"/>
        <u val="none"/>
        <vertAlign val="baseline"/>
        <sz val="9"/>
        <color auto="1"/>
        <name val="Calibri"/>
        <scheme val="minor"/>
      </font>
      <numFmt numFmtId="3" formatCode="#,##0"/>
      <alignment horizontal="center" vertical="bottom" textRotation="0" wrapText="0" indent="0" justifyLastLine="0" shrinkToFit="0" readingOrder="0"/>
      <border diagonalUp="0" diagonalDown="0">
        <left/>
        <right/>
        <top style="thin">
          <color theme="4"/>
        </top>
        <bottom style="thin">
          <color theme="4"/>
        </bottom>
      </border>
      <protection locked="1" hidden="1"/>
    </dxf>
    <dxf>
      <font>
        <strike val="0"/>
        <outline val="0"/>
        <shadow val="0"/>
        <u val="none"/>
        <vertAlign val="baseline"/>
        <sz val="9"/>
        <color auto="1"/>
        <name val="Calibri"/>
        <scheme val="minor"/>
      </font>
      <numFmt numFmtId="3" formatCode="#,##0"/>
      <alignment horizontal="center" vertical="bottom" textRotation="0" wrapText="0" indent="0" justifyLastLine="0" shrinkToFit="0" readingOrder="0"/>
      <border diagonalUp="0" diagonalDown="0">
        <left/>
        <right/>
        <top style="thin">
          <color theme="4"/>
        </top>
        <bottom style="thin">
          <color theme="4"/>
        </bottom>
      </border>
      <protection locked="1" hidden="1"/>
    </dxf>
    <dxf>
      <font>
        <b val="0"/>
        <i val="0"/>
        <strike val="0"/>
        <condense val="0"/>
        <extend val="0"/>
        <outline val="0"/>
        <shadow val="0"/>
        <u val="none"/>
        <vertAlign val="baseline"/>
        <sz val="9"/>
        <color theme="1"/>
        <name val="Calibri"/>
        <scheme val="minor"/>
      </font>
      <alignment horizontal="left" vertical="bottom" textRotation="0" wrapText="0" indent="0" justifyLastLine="0" shrinkToFit="0" readingOrder="0"/>
      <border diagonalUp="0" diagonalDown="0" outline="0">
        <left/>
        <right/>
        <top style="thin">
          <color theme="4"/>
        </top>
        <bottom style="thin">
          <color theme="4"/>
        </bottom>
      </border>
      <protection locked="1" hidden="1"/>
    </dxf>
    <dxf>
      <border>
        <top style="thin">
          <color theme="4"/>
        </top>
      </border>
    </dxf>
    <dxf>
      <border diagonalUp="0" diagonalDown="0">
        <left style="thin">
          <color theme="4"/>
        </left>
        <right style="thin">
          <color theme="4"/>
        </right>
        <top style="thin">
          <color theme="4"/>
        </top>
        <bottom style="thin">
          <color theme="4"/>
        </bottom>
      </border>
    </dxf>
    <dxf>
      <font>
        <strike val="0"/>
        <outline val="0"/>
        <shadow val="0"/>
        <u val="none"/>
        <vertAlign val="baseline"/>
        <sz val="9"/>
        <name val="Calibri"/>
        <scheme val="minor"/>
      </font>
      <protection locked="1" hidden="1"/>
    </dxf>
    <dxf>
      <border>
        <bottom style="thin">
          <color theme="4"/>
        </bottom>
      </border>
    </dxf>
    <dxf>
      <font>
        <strike val="0"/>
        <outline val="0"/>
        <shadow val="0"/>
        <u val="none"/>
        <vertAlign val="baseline"/>
        <sz val="9"/>
        <color theme="0"/>
        <name val="Calibri"/>
        <scheme val="minor"/>
      </font>
      <fill>
        <patternFill patternType="none"/>
      </fill>
      <alignment horizontal="left" vertical="bottom" textRotation="0" indent="0" justifyLastLine="0" shrinkToFit="0"/>
      <protection locked="1" hidden="1"/>
    </dxf>
    <dxf>
      <font>
        <b val="0"/>
        <i val="0"/>
        <strike val="0"/>
        <condense val="0"/>
        <extend val="0"/>
        <outline val="0"/>
        <shadow val="0"/>
        <u val="none"/>
        <vertAlign val="baseline"/>
        <sz val="9"/>
        <color rgb="FF000000"/>
        <name val="Calibri"/>
        <scheme val="minor"/>
      </font>
      <numFmt numFmtId="165" formatCode="&quot;$&quot;#,##0"/>
      <fill>
        <patternFill patternType="solid">
          <fgColor indexed="64"/>
          <bgColor rgb="FFFFFFFF"/>
        </patternFill>
      </fill>
      <alignment horizontal="center" vertical="center" textRotation="0" wrapText="0" indent="0" justifyLastLine="0" shrinkToFit="0" readingOrder="0"/>
      <border diagonalUp="0" diagonalDown="0" outline="0">
        <left/>
        <right/>
        <top style="thin">
          <color theme="4"/>
        </top>
        <bottom style="thin">
          <color theme="4"/>
        </bottom>
      </border>
      <protection locked="1" hidden="1"/>
    </dxf>
    <dxf>
      <font>
        <b val="0"/>
        <i val="0"/>
        <strike val="0"/>
        <condense val="0"/>
        <extend val="0"/>
        <outline val="0"/>
        <shadow val="0"/>
        <u val="none"/>
        <vertAlign val="baseline"/>
        <sz val="9"/>
        <color rgb="FF000000"/>
        <name val="Calibri"/>
        <scheme val="minor"/>
      </font>
      <numFmt numFmtId="165" formatCode="&quot;$&quot;#,##0"/>
      <fill>
        <patternFill patternType="solid">
          <fgColor indexed="64"/>
          <bgColor rgb="FFFFFFFF"/>
        </patternFill>
      </fill>
      <alignment horizontal="center" vertical="center" textRotation="0" wrapText="0" indent="0" justifyLastLine="0" shrinkToFit="0" readingOrder="0"/>
      <border diagonalUp="0" diagonalDown="0" outline="0">
        <left/>
        <right/>
        <top style="thin">
          <color theme="4"/>
        </top>
        <bottom style="thin">
          <color theme="4"/>
        </bottom>
      </border>
      <protection locked="1" hidden="1"/>
    </dxf>
    <dxf>
      <font>
        <b val="0"/>
        <i val="0"/>
        <strike val="0"/>
        <condense val="0"/>
        <extend val="0"/>
        <outline val="0"/>
        <shadow val="0"/>
        <u val="none"/>
        <vertAlign val="baseline"/>
        <sz val="9"/>
        <color rgb="FF000000"/>
        <name val="Calibri"/>
        <scheme val="minor"/>
      </font>
      <numFmt numFmtId="165" formatCode="&quot;$&quot;#,##0"/>
      <fill>
        <patternFill patternType="solid">
          <fgColor indexed="64"/>
          <bgColor rgb="FFFFFFFF"/>
        </patternFill>
      </fill>
      <alignment horizontal="center" vertical="center" textRotation="0" wrapText="0" indent="0" justifyLastLine="0" shrinkToFit="0" readingOrder="0"/>
      <border diagonalUp="0" diagonalDown="0" outline="0">
        <left/>
        <right/>
        <top style="thin">
          <color theme="4"/>
        </top>
        <bottom style="thin">
          <color theme="4"/>
        </bottom>
      </border>
      <protection locked="1" hidden="1"/>
    </dxf>
    <dxf>
      <font>
        <b val="0"/>
        <i val="0"/>
        <strike val="0"/>
        <condense val="0"/>
        <extend val="0"/>
        <outline val="0"/>
        <shadow val="0"/>
        <u val="none"/>
        <vertAlign val="baseline"/>
        <sz val="9"/>
        <color rgb="FF000000"/>
        <name val="Calibri"/>
        <scheme val="minor"/>
      </font>
      <numFmt numFmtId="165" formatCode="&quot;$&quot;#,##0"/>
      <fill>
        <patternFill patternType="solid">
          <fgColor indexed="64"/>
          <bgColor rgb="FFFFFFFF"/>
        </patternFill>
      </fill>
      <alignment horizontal="center" vertical="center" textRotation="0" wrapText="0" indent="0" justifyLastLine="0" shrinkToFit="0" readingOrder="0"/>
      <border diagonalUp="0" diagonalDown="0" outline="0">
        <left/>
        <right/>
        <top style="thin">
          <color theme="4"/>
        </top>
        <bottom style="thin">
          <color theme="4"/>
        </bottom>
      </border>
      <protection locked="1" hidden="1"/>
    </dxf>
    <dxf>
      <font>
        <b val="0"/>
        <i val="0"/>
        <strike val="0"/>
        <condense val="0"/>
        <extend val="0"/>
        <outline val="0"/>
        <shadow val="0"/>
        <u val="none"/>
        <vertAlign val="baseline"/>
        <sz val="9"/>
        <color rgb="FF000000"/>
        <name val="Calibri"/>
        <scheme val="minor"/>
      </font>
      <numFmt numFmtId="165" formatCode="&quot;$&quot;#,##0"/>
      <fill>
        <patternFill patternType="solid">
          <fgColor indexed="64"/>
          <bgColor rgb="FFFFFFFF"/>
        </patternFill>
      </fill>
      <alignment horizontal="center" vertical="center" textRotation="0" wrapText="0" indent="0" justifyLastLine="0" shrinkToFit="0" readingOrder="0"/>
      <border diagonalUp="0" diagonalDown="0" outline="0">
        <left/>
        <right/>
        <top style="thin">
          <color theme="4"/>
        </top>
        <bottom style="thin">
          <color theme="4"/>
        </bottom>
      </border>
      <protection locked="1" hidden="1"/>
    </dxf>
    <dxf>
      <font>
        <strike val="0"/>
        <outline val="0"/>
        <shadow val="0"/>
        <u val="none"/>
        <vertAlign val="baseline"/>
        <sz val="9"/>
        <name val="Calibri"/>
        <scheme val="minor"/>
      </font>
      <alignment horizontal="left" vertical="bottom" textRotation="0" wrapText="0" indent="0" justifyLastLine="0" shrinkToFit="0" readingOrder="0"/>
      <border diagonalUp="0" diagonalDown="0" outline="0">
        <left/>
        <right/>
        <top style="thin">
          <color theme="4"/>
        </top>
        <bottom style="thin">
          <color theme="4"/>
        </bottom>
      </border>
      <protection locked="1" hidden="1"/>
    </dxf>
    <dxf>
      <border>
        <top style="thin">
          <color theme="4"/>
        </top>
      </border>
    </dxf>
    <dxf>
      <border diagonalUp="0" diagonalDown="0">
        <left style="thin">
          <color theme="4"/>
        </left>
        <right style="thin">
          <color theme="4"/>
        </right>
        <top style="thin">
          <color theme="4"/>
        </top>
        <bottom style="thin">
          <color theme="4"/>
        </bottom>
      </border>
    </dxf>
    <dxf>
      <font>
        <b val="0"/>
        <i val="0"/>
        <strike val="0"/>
        <condense val="0"/>
        <extend val="0"/>
        <outline val="0"/>
        <shadow val="0"/>
        <u val="none"/>
        <vertAlign val="baseline"/>
        <sz val="9"/>
        <color rgb="FF000000"/>
        <name val="Calibri"/>
        <scheme val="minor"/>
      </font>
      <fill>
        <patternFill patternType="solid">
          <fgColor indexed="64"/>
          <bgColor rgb="FFFFFFFF"/>
        </patternFill>
      </fill>
      <alignment horizontal="center" vertical="center" textRotation="0" wrapText="0" indent="0" justifyLastLine="0" shrinkToFit="0" readingOrder="0"/>
      <protection locked="1" hidden="1"/>
    </dxf>
    <dxf>
      <border>
        <bottom style="thin">
          <color theme="4"/>
        </bottom>
      </border>
    </dxf>
    <dxf>
      <font>
        <b/>
        <i val="0"/>
        <strike val="0"/>
        <condense val="0"/>
        <extend val="0"/>
        <outline val="0"/>
        <shadow val="0"/>
        <u val="none"/>
        <vertAlign val="baseline"/>
        <sz val="9"/>
        <color rgb="FFFFFFFF"/>
        <name val="Calibri"/>
        <scheme val="minor"/>
      </font>
      <fill>
        <patternFill patternType="solid">
          <fgColor indexed="64"/>
          <bgColor rgb="FF4F81BD"/>
        </patternFill>
      </fill>
      <alignment horizontal="center" vertical="center" textRotation="0" wrapText="0" indent="0" justifyLastLine="0" shrinkToFit="0" readingOrder="0"/>
      <border diagonalUp="0" diagonalDown="0" outline="0">
        <left style="medium">
          <color rgb="FF4F81BD"/>
        </left>
        <right style="medium">
          <color rgb="FF4F81BD"/>
        </right>
        <top/>
        <bottom/>
      </border>
      <protection locked="1" hidden="1"/>
    </dxf>
    <dxf>
      <font>
        <strike val="0"/>
        <outline val="0"/>
        <shadow val="0"/>
        <u val="none"/>
        <vertAlign val="baseline"/>
        <sz val="9"/>
        <name val="Calibri"/>
        <scheme val="minor"/>
      </font>
      <numFmt numFmtId="0" formatCode="General"/>
      <alignment horizontal="center" textRotation="0" indent="0" justifyLastLine="0" shrinkToFit="0"/>
      <border diagonalUp="0" diagonalDown="0">
        <left/>
        <right/>
        <top style="thin">
          <color theme="4"/>
        </top>
        <bottom style="thin">
          <color theme="4"/>
        </bottom>
      </border>
      <protection locked="1" hidden="1"/>
    </dxf>
    <dxf>
      <font>
        <strike val="0"/>
        <outline val="0"/>
        <shadow val="0"/>
        <u val="none"/>
        <vertAlign val="baseline"/>
        <sz val="9"/>
        <name val="Calibri"/>
        <scheme val="minor"/>
      </font>
      <alignment horizontal="left" vertical="bottom" textRotation="0" wrapText="0" indent="0" justifyLastLine="0" shrinkToFit="0" readingOrder="0"/>
      <border diagonalUp="0" diagonalDown="0" outline="0">
        <left/>
        <right/>
        <top style="thin">
          <color theme="4"/>
        </top>
        <bottom style="thin">
          <color theme="4"/>
        </bottom>
      </border>
      <protection locked="1" hidden="1"/>
    </dxf>
    <dxf>
      <border>
        <top style="thin">
          <color theme="4"/>
        </top>
      </border>
    </dxf>
    <dxf>
      <border diagonalUp="0" diagonalDown="0">
        <left style="thin">
          <color theme="4"/>
        </left>
        <right style="thin">
          <color theme="4"/>
        </right>
        <top style="thin">
          <color theme="4"/>
        </top>
        <bottom style="thin">
          <color theme="4"/>
        </bottom>
      </border>
    </dxf>
    <dxf>
      <font>
        <strike val="0"/>
        <outline val="0"/>
        <shadow val="0"/>
        <u val="none"/>
        <vertAlign val="baseline"/>
        <sz val="9"/>
        <name val="Calibri"/>
        <scheme val="minor"/>
      </font>
      <alignment horizontal="center" textRotation="0" indent="0" justifyLastLine="0" shrinkToFit="0"/>
      <protection locked="1" hidden="1"/>
    </dxf>
    <dxf>
      <border>
        <bottom style="thin">
          <color theme="4"/>
        </bottom>
      </border>
    </dxf>
    <dxf>
      <font>
        <strike val="0"/>
        <outline val="0"/>
        <shadow val="0"/>
        <u val="none"/>
        <vertAlign val="baseline"/>
        <sz val="9"/>
        <name val="Calibri"/>
        <scheme val="minor"/>
      </font>
      <alignment horizontal="center" textRotation="0" indent="0" justifyLastLine="0" shrinkToFit="0"/>
      <protection locked="1" hidden="1"/>
    </dxf>
    <dxf>
      <font>
        <b val="0"/>
        <i val="0"/>
        <strike val="0"/>
        <condense val="0"/>
        <extend val="0"/>
        <outline val="0"/>
        <shadow val="0"/>
        <u val="none"/>
        <vertAlign val="baseline"/>
        <sz val="9"/>
        <color theme="1"/>
        <name val="Calibri"/>
        <scheme val="minor"/>
      </font>
      <numFmt numFmtId="9" formatCode="&quot;$&quot;#,##0_);\(&quot;$&quot;#,##0\)"/>
      <fill>
        <patternFill patternType="none">
          <fgColor indexed="64"/>
          <bgColor indexed="65"/>
        </patternFill>
      </fill>
      <alignment horizontal="center" vertical="center" textRotation="0" wrapText="0" indent="0" justifyLastLine="0" shrinkToFit="0" readingOrder="0"/>
      <border diagonalUp="0" diagonalDown="0" outline="0">
        <left/>
        <right/>
        <top style="thin">
          <color theme="4"/>
        </top>
        <bottom style="thin">
          <color theme="4"/>
        </bottom>
      </border>
      <protection locked="1" hidden="1"/>
    </dxf>
    <dxf>
      <font>
        <b val="0"/>
        <i val="0"/>
        <strike val="0"/>
        <condense val="0"/>
        <extend val="0"/>
        <outline val="0"/>
        <shadow val="0"/>
        <u val="none"/>
        <vertAlign val="baseline"/>
        <sz val="9"/>
        <color theme="1"/>
        <name val="Calibri"/>
        <scheme val="minor"/>
      </font>
      <numFmt numFmtId="165" formatCode="&quot;$&quot;#,##0"/>
      <alignment horizontal="center" vertical="center" textRotation="0" wrapText="0" indent="0" justifyLastLine="0" shrinkToFit="0" readingOrder="0"/>
      <border diagonalUp="0" diagonalDown="0" outline="0">
        <left/>
        <right/>
        <top style="thin">
          <color theme="4"/>
        </top>
        <bottom style="thin">
          <color theme="4"/>
        </bottom>
      </border>
      <protection locked="1" hidden="1"/>
    </dxf>
    <dxf>
      <font>
        <b val="0"/>
        <i val="0"/>
        <strike val="0"/>
        <condense val="0"/>
        <extend val="0"/>
        <outline val="0"/>
        <shadow val="0"/>
        <u val="none"/>
        <vertAlign val="baseline"/>
        <sz val="9"/>
        <color theme="1"/>
        <name val="Calibri"/>
        <scheme val="minor"/>
      </font>
      <numFmt numFmtId="164" formatCode="0.0%"/>
      <alignment horizontal="center" vertical="bottom" textRotation="0" wrapText="0" indent="0" justifyLastLine="0" shrinkToFit="0" readingOrder="0"/>
      <border diagonalUp="0" diagonalDown="0" outline="0">
        <left/>
        <right/>
        <top style="thin">
          <color theme="4"/>
        </top>
        <bottom style="thin">
          <color theme="4"/>
        </bottom>
      </border>
      <protection locked="1" hidden="1"/>
    </dxf>
    <dxf>
      <font>
        <b val="0"/>
        <i val="0"/>
        <strike val="0"/>
        <condense val="0"/>
        <extend val="0"/>
        <outline val="0"/>
        <shadow val="0"/>
        <u val="none"/>
        <vertAlign val="baseline"/>
        <sz val="9"/>
        <color theme="1"/>
        <name val="Calibri"/>
        <scheme val="minor"/>
      </font>
      <numFmt numFmtId="165" formatCode="&quot;$&quot;#,##0"/>
      <alignment horizontal="center" vertical="center" textRotation="0" wrapText="0" indent="0" justifyLastLine="0" shrinkToFit="0" readingOrder="0"/>
      <border diagonalUp="0" diagonalDown="0" outline="0">
        <left/>
        <right/>
        <top style="thin">
          <color theme="4"/>
        </top>
        <bottom style="thin">
          <color theme="4"/>
        </bottom>
      </border>
      <protection locked="1" hidden="1"/>
    </dxf>
    <dxf>
      <font>
        <b val="0"/>
        <i val="0"/>
        <strike val="0"/>
        <condense val="0"/>
        <extend val="0"/>
        <outline val="0"/>
        <shadow val="0"/>
        <u val="none"/>
        <vertAlign val="baseline"/>
        <sz val="9"/>
        <color theme="1"/>
        <name val="Calibri"/>
        <scheme val="minor"/>
      </font>
      <numFmt numFmtId="3" formatCode="#,##0"/>
      <alignment horizontal="center" vertical="center" textRotation="0" wrapText="0" indent="0" justifyLastLine="0" shrinkToFit="0" readingOrder="0"/>
      <border diagonalUp="0" diagonalDown="0" outline="0">
        <left/>
        <right/>
        <top style="thin">
          <color theme="4"/>
        </top>
        <bottom style="thin">
          <color theme="4"/>
        </bottom>
      </border>
      <protection locked="1" hidden="1"/>
    </dxf>
    <dxf>
      <font>
        <strike val="0"/>
        <outline val="0"/>
        <shadow val="0"/>
        <u val="none"/>
        <vertAlign val="baseline"/>
        <sz val="9"/>
        <name val="Calibri"/>
        <scheme val="minor"/>
      </font>
      <alignment horizontal="left" vertical="bottom" textRotation="0" wrapText="0" indent="0" justifyLastLine="0" shrinkToFit="0" readingOrder="0"/>
      <border diagonalUp="0" diagonalDown="0" outline="0">
        <left/>
        <right/>
        <top style="thin">
          <color theme="4"/>
        </top>
        <bottom style="thin">
          <color theme="4"/>
        </bottom>
      </border>
      <protection locked="1" hidden="1"/>
    </dxf>
    <dxf>
      <border>
        <top style="thin">
          <color theme="4"/>
        </top>
      </border>
    </dxf>
    <dxf>
      <border diagonalUp="0" diagonalDown="0">
        <left style="thin">
          <color theme="4"/>
        </left>
        <right style="thin">
          <color theme="4"/>
        </right>
        <top style="thin">
          <color theme="4"/>
        </top>
        <bottom style="thin">
          <color theme="4"/>
        </bottom>
      </border>
    </dxf>
    <dxf>
      <font>
        <b val="0"/>
        <i val="0"/>
        <strike val="0"/>
        <condense val="0"/>
        <extend val="0"/>
        <outline val="0"/>
        <shadow val="0"/>
        <u val="none"/>
        <vertAlign val="baseline"/>
        <sz val="9"/>
        <color theme="1"/>
        <name val="Calibri"/>
        <scheme val="minor"/>
      </font>
      <alignment horizontal="center" textRotation="0" wrapText="0" indent="0" justifyLastLine="0" shrinkToFit="0"/>
      <protection locked="1" hidden="1"/>
    </dxf>
    <dxf>
      <border>
        <bottom style="thin">
          <color theme="4"/>
        </bottom>
      </border>
    </dxf>
    <dxf>
      <font>
        <b/>
        <i val="0"/>
        <strike val="0"/>
        <condense val="0"/>
        <extend val="0"/>
        <outline val="0"/>
        <shadow val="0"/>
        <u val="none"/>
        <vertAlign val="baseline"/>
        <sz val="9"/>
        <color rgb="FFFFFFFF"/>
        <name val="Calibri"/>
        <scheme val="minor"/>
      </font>
      <fill>
        <patternFill patternType="solid">
          <fgColor indexed="64"/>
          <bgColor rgb="FF4F81BD"/>
        </patternFill>
      </fill>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theme="1"/>
        <name val="Calibri"/>
        <scheme val="minor"/>
      </font>
      <numFmt numFmtId="165" formatCode="&quot;$&quot;#,##0"/>
      <alignment horizontal="center" vertical="bottom" textRotation="0" wrapText="0" indent="0" justifyLastLine="0" shrinkToFit="0"/>
      <protection locked="1" hidden="1"/>
    </dxf>
    <dxf>
      <font>
        <b val="0"/>
        <i val="0"/>
        <strike val="0"/>
        <condense val="0"/>
        <extend val="0"/>
        <outline val="0"/>
        <shadow val="0"/>
        <u val="none"/>
        <vertAlign val="baseline"/>
        <sz val="9"/>
        <color theme="1"/>
        <name val="Calibri"/>
        <scheme val="minor"/>
      </font>
      <numFmt numFmtId="165" formatCode="&quot;$&quot;#,##0"/>
      <alignment horizontal="center" vertical="bottom" textRotation="0" wrapText="0" indent="0" justifyLastLine="0" shrinkToFit="0"/>
      <protection locked="1" hidden="1"/>
    </dxf>
    <dxf>
      <font>
        <b val="0"/>
        <i val="0"/>
        <strike val="0"/>
        <condense val="0"/>
        <extend val="0"/>
        <outline val="0"/>
        <shadow val="0"/>
        <u val="none"/>
        <vertAlign val="baseline"/>
        <sz val="9"/>
        <color theme="1"/>
        <name val="Calibri"/>
        <scheme val="minor"/>
      </font>
      <numFmt numFmtId="165" formatCode="&quot;$&quot;#,##0"/>
      <alignment horizontal="center" vertical="bottom" textRotation="0" wrapText="0" indent="0" justifyLastLine="0" shrinkToFit="0"/>
      <protection locked="1" hidden="1"/>
    </dxf>
    <dxf>
      <font>
        <b val="0"/>
        <i val="0"/>
        <strike val="0"/>
        <condense val="0"/>
        <extend val="0"/>
        <outline val="0"/>
        <shadow val="0"/>
        <u val="none"/>
        <vertAlign val="baseline"/>
        <sz val="9"/>
        <color theme="1"/>
        <name val="Calibri"/>
        <scheme val="minor"/>
      </font>
      <numFmt numFmtId="165" formatCode="&quot;$&quot;#,##0"/>
      <alignment horizontal="center" vertical="bottom" textRotation="0" wrapText="0" indent="0" justifyLastLine="0" shrinkToFit="0" readingOrder="0"/>
      <protection locked="1" hidden="1"/>
    </dxf>
    <dxf>
      <font>
        <b val="0"/>
        <i val="0"/>
        <strike val="0"/>
        <condense val="0"/>
        <extend val="0"/>
        <outline val="0"/>
        <shadow val="0"/>
        <u val="none"/>
        <vertAlign val="baseline"/>
        <sz val="9"/>
        <color theme="1"/>
        <name val="Calibri"/>
        <scheme val="minor"/>
      </font>
      <numFmt numFmtId="165" formatCode="&quot;$&quot;#,##0"/>
      <alignment horizontal="center" vertical="bottom" textRotation="0" wrapText="0" indent="0" justifyLastLine="0" shrinkToFit="0" readingOrder="0"/>
      <protection locked="1" hidden="1"/>
    </dxf>
    <dxf>
      <font>
        <b val="0"/>
        <i val="0"/>
        <strike val="0"/>
        <condense val="0"/>
        <extend val="0"/>
        <outline val="0"/>
        <shadow val="0"/>
        <u val="none"/>
        <vertAlign val="baseline"/>
        <sz val="9"/>
        <color theme="1"/>
        <name val="Calibri"/>
        <scheme val="minor"/>
      </font>
      <numFmt numFmtId="165" formatCode="&quot;$&quot;#,##0"/>
      <alignment horizontal="center" vertical="bottom" textRotation="0" wrapText="0" indent="0" justifyLastLine="0" shrinkToFit="0"/>
      <protection locked="1" hidden="1"/>
    </dxf>
    <dxf>
      <font>
        <b val="0"/>
        <i val="0"/>
        <strike val="0"/>
        <condense val="0"/>
        <extend val="0"/>
        <outline val="0"/>
        <shadow val="0"/>
        <u val="none"/>
        <vertAlign val="baseline"/>
        <sz val="9"/>
        <color theme="1"/>
        <name val="Calibri"/>
        <scheme val="minor"/>
      </font>
      <numFmt numFmtId="165" formatCode="&quot;$&quot;#,##0"/>
      <alignment horizontal="center" vertical="bottom" textRotation="0" wrapText="0" indent="0" justifyLastLine="0" shrinkToFit="0"/>
      <protection locked="1" hidden="1"/>
    </dxf>
    <dxf>
      <font>
        <b val="0"/>
        <i val="0"/>
        <strike val="0"/>
        <condense val="0"/>
        <extend val="0"/>
        <outline val="0"/>
        <shadow val="0"/>
        <u val="none"/>
        <vertAlign val="baseline"/>
        <sz val="9"/>
        <color rgb="FF000000"/>
        <name val="Calibri"/>
        <scheme val="minor"/>
      </font>
      <alignment horizontal="left" textRotation="0" wrapText="0" indent="0" justifyLastLine="0" shrinkToFit="0"/>
      <border diagonalUp="0" diagonalDown="0" outline="0">
        <left/>
        <right/>
        <top style="thin">
          <color theme="4"/>
        </top>
        <bottom/>
      </border>
      <protection locked="1" hidden="1"/>
    </dxf>
    <dxf>
      <border outline="0">
        <top style="medium">
          <color rgb="FF4F81BD"/>
        </top>
      </border>
    </dxf>
    <dxf>
      <font>
        <b val="0"/>
        <i val="0"/>
        <strike val="0"/>
        <condense val="0"/>
        <extend val="0"/>
        <outline val="0"/>
        <shadow val="0"/>
        <u val="none"/>
        <vertAlign val="baseline"/>
        <sz val="9"/>
        <color theme="1"/>
        <name val="Calibri"/>
        <scheme val="minor"/>
      </font>
      <alignment horizontal="center" textRotation="0" indent="0" justifyLastLine="0" shrinkToFit="0"/>
      <protection locked="1" hidden="1"/>
    </dxf>
    <dxf>
      <border outline="0">
        <bottom style="medium">
          <color rgb="FF4F81BD"/>
        </bottom>
      </border>
    </dxf>
    <dxf>
      <font>
        <b/>
        <i val="0"/>
        <strike val="0"/>
        <condense val="0"/>
        <extend val="0"/>
        <outline val="0"/>
        <shadow val="0"/>
        <u val="none"/>
        <vertAlign val="baseline"/>
        <sz val="9"/>
        <color rgb="FFFFFFFF"/>
        <name val="Calibri"/>
        <scheme val="minor"/>
      </font>
      <fill>
        <patternFill patternType="solid">
          <fgColor indexed="64"/>
          <bgColor rgb="FF4F81BD"/>
        </patternFill>
      </fill>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theme="1"/>
        <name val="Calibri"/>
        <scheme val="minor"/>
      </font>
      <numFmt numFmtId="9" formatCode="&quot;$&quot;#,##0_);\(&quot;$&quot;#,##0\)"/>
      <alignment horizontal="center" vertical="center"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9"/>
        <color theme="1"/>
        <name val="Calibri"/>
        <scheme val="minor"/>
      </font>
      <numFmt numFmtId="9" formatCode="&quot;$&quot;#,##0_);\(&quot;$&quot;#,##0\)"/>
      <fill>
        <patternFill patternType="none">
          <fgColor indexed="64"/>
          <bgColor indexed="65"/>
        </patternFill>
      </fill>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theme="1"/>
        <name val="Calibri"/>
        <scheme val="minor"/>
      </font>
      <numFmt numFmtId="9" formatCode="&quot;$&quot;#,##0_);\(&quot;$&quot;#,##0\)"/>
      <alignment horizontal="center" vertical="center"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9"/>
        <color theme="1"/>
        <name val="Calibri"/>
        <scheme val="minor"/>
      </font>
      <numFmt numFmtId="9" formatCode="&quot;$&quot;#,##0_);\(&quot;$&quot;#,##0\)"/>
      <fill>
        <patternFill patternType="none">
          <fgColor indexed="64"/>
          <bgColor indexed="65"/>
        </patternFill>
      </fill>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theme="1"/>
        <name val="Calibri"/>
        <scheme val="minor"/>
      </font>
      <numFmt numFmtId="9" formatCode="&quot;$&quot;#,##0_);\(&quot;$&quot;#,##0\)"/>
      <alignment horizontal="center" vertical="center"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9"/>
        <color theme="1"/>
        <name val="Calibri"/>
        <scheme val="minor"/>
      </font>
      <numFmt numFmtId="9" formatCode="&quot;$&quot;#,##0_);\(&quot;$&quot;#,##0\)"/>
      <fill>
        <patternFill patternType="none">
          <fgColor indexed="64"/>
          <bgColor indexed="65"/>
        </patternFill>
      </fill>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theme="1"/>
        <name val="Calibri"/>
        <scheme val="minor"/>
      </font>
      <numFmt numFmtId="9" formatCode="&quot;$&quot;#,##0_);\(&quot;$&quot;#,##0\)"/>
      <alignment horizontal="center" vertical="center"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9"/>
        <color theme="1"/>
        <name val="Calibri"/>
        <scheme val="minor"/>
      </font>
      <numFmt numFmtId="9" formatCode="&quot;$&quot;#,##0_);\(&quot;$&quot;#,##0\)"/>
      <fill>
        <patternFill patternType="none">
          <fgColor indexed="64"/>
          <bgColor indexed="65"/>
        </patternFill>
      </fill>
      <alignment horizontal="center" vertical="center" textRotation="0" wrapText="0" indent="0" justifyLastLine="0" shrinkToFit="0" readingOrder="0"/>
      <border diagonalUp="0" diagonalDown="0" outline="0">
        <left/>
        <right/>
        <top style="thin">
          <color theme="4"/>
        </top>
        <bottom/>
      </border>
      <protection locked="1" hidden="1"/>
    </dxf>
    <dxf>
      <font>
        <b val="0"/>
        <i val="0"/>
        <strike val="0"/>
        <condense val="0"/>
        <extend val="0"/>
        <outline val="0"/>
        <shadow val="0"/>
        <u val="none"/>
        <vertAlign val="baseline"/>
        <sz val="9"/>
        <color theme="1"/>
        <name val="Calibri"/>
        <scheme val="minor"/>
      </font>
      <alignment horizontal="left" vertical="center" textRotation="0" wrapText="0" indent="0" justifyLastLine="0" shrinkToFit="0" readingOrder="0"/>
      <border diagonalUp="0" diagonalDown="0" outline="0">
        <left style="thin">
          <color theme="4"/>
        </left>
        <right/>
        <top style="thin">
          <color theme="4"/>
        </top>
        <bottom/>
      </border>
      <protection locked="1" hidden="1"/>
    </dxf>
    <dxf>
      <font>
        <b val="0"/>
        <i val="0"/>
        <strike val="0"/>
        <condense val="0"/>
        <extend val="0"/>
        <outline val="0"/>
        <shadow val="0"/>
        <u val="none"/>
        <vertAlign val="baseline"/>
        <sz val="9"/>
        <color rgb="FF000000"/>
        <name val="Calibri"/>
        <scheme val="minor"/>
      </font>
      <numFmt numFmtId="0" formatCode="General"/>
      <alignment horizontal="left" vertical="bottom" textRotation="0" wrapText="0" indent="0" justifyLastLine="0" shrinkToFit="0" readingOrder="0"/>
      <border diagonalUp="0" diagonalDown="0" outline="0">
        <left/>
        <right/>
        <top style="thin">
          <color theme="4"/>
        </top>
        <bottom/>
      </border>
      <protection locked="1" hidden="1"/>
    </dxf>
    <dxf>
      <font>
        <strike val="0"/>
        <outline val="0"/>
        <shadow val="0"/>
        <u val="none"/>
        <vertAlign val="baseline"/>
        <sz val="9"/>
        <name val="Calibri"/>
        <scheme val="minor"/>
      </font>
      <alignment horizontal="center" textRotation="0" indent="0" justifyLastLine="0" shrinkToFit="0"/>
      <protection locked="1" hidden="1"/>
    </dxf>
    <dxf>
      <border outline="0">
        <top style="medium">
          <color rgb="FF4F81BD"/>
        </top>
      </border>
    </dxf>
    <dxf>
      <font>
        <b val="0"/>
        <i val="0"/>
        <strike val="0"/>
        <condense val="0"/>
        <extend val="0"/>
        <outline val="0"/>
        <shadow val="0"/>
        <u val="none"/>
        <vertAlign val="baseline"/>
        <sz val="9"/>
        <color theme="1"/>
        <name val="Calibri"/>
        <scheme val="minor"/>
      </font>
      <alignment horizontal="center" textRotation="0" indent="0" justifyLastLine="0" shrinkToFit="0"/>
      <protection locked="1" hidden="1"/>
    </dxf>
    <dxf>
      <font>
        <b/>
        <i val="0"/>
        <strike val="0"/>
        <condense val="0"/>
        <extend val="0"/>
        <outline val="0"/>
        <shadow val="0"/>
        <u val="none"/>
        <vertAlign val="baseline"/>
        <sz val="9"/>
        <color rgb="FFFFFFFF"/>
        <name val="Calibri"/>
        <scheme val="minor"/>
      </font>
      <fill>
        <patternFill patternType="solid">
          <fgColor indexed="64"/>
          <bgColor rgb="FF4F81BD"/>
        </patternFill>
      </fill>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theme="1"/>
        <name val="Calibri"/>
        <scheme val="minor"/>
      </font>
      <numFmt numFmtId="9" formatCode="&quot;$&quot;#,##0_);\(&quot;$&quot;#,##0\)"/>
      <fill>
        <patternFill patternType="none">
          <fgColor indexed="64"/>
          <bgColor indexed="65"/>
        </patternFill>
      </fill>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theme="1"/>
        <name val="Calibri"/>
        <scheme val="minor"/>
      </font>
      <numFmt numFmtId="165" formatCode="&quot;$&quot;#,##0"/>
      <alignment horizontal="center" vertical="center" textRotation="0" wrapText="0" indent="0" justifyLastLine="0" shrinkToFit="0"/>
      <protection locked="1" hidden="1"/>
    </dxf>
    <dxf>
      <font>
        <b val="0"/>
        <i val="0"/>
        <strike val="0"/>
        <condense val="0"/>
        <extend val="0"/>
        <outline val="0"/>
        <shadow val="0"/>
        <u val="none"/>
        <vertAlign val="baseline"/>
        <sz val="9"/>
        <color theme="1"/>
        <name val="Calibri"/>
        <scheme val="minor"/>
      </font>
      <numFmt numFmtId="164" formatCode="0.0%"/>
      <alignment horizontal="center" vertical="bottom" textRotation="0" wrapText="0" indent="0" justifyLastLine="0" shrinkToFit="0" readingOrder="0"/>
      <protection locked="1" hidden="1"/>
    </dxf>
    <dxf>
      <font>
        <b val="0"/>
        <i val="0"/>
        <strike val="0"/>
        <condense val="0"/>
        <extend val="0"/>
        <outline val="0"/>
        <shadow val="0"/>
        <u val="none"/>
        <vertAlign val="baseline"/>
        <sz val="9"/>
        <color theme="1"/>
        <name val="Calibri"/>
        <scheme val="minor"/>
      </font>
      <numFmt numFmtId="9" formatCode="&quot;$&quot;#,##0_);\(&quot;$&quot;#,##0\)"/>
      <alignment horizontal="center" vertical="bottom" textRotation="0" wrapText="0" indent="0" justifyLastLine="0" shrinkToFit="0" readingOrder="0"/>
      <protection locked="1" hidden="1"/>
    </dxf>
    <dxf>
      <font>
        <b val="0"/>
        <i val="0"/>
        <strike val="0"/>
        <condense val="0"/>
        <extend val="0"/>
        <outline val="0"/>
        <shadow val="0"/>
        <u val="none"/>
        <vertAlign val="baseline"/>
        <sz val="9"/>
        <color theme="1"/>
        <name val="Calibri"/>
        <scheme val="minor"/>
      </font>
      <numFmt numFmtId="3" formatCode="#,##0"/>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theme="1"/>
        <name val="Calibri"/>
        <scheme val="minor"/>
      </font>
      <numFmt numFmtId="3" formatCode="#,##0"/>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rgb="FF000000"/>
        <name val="Calibri"/>
        <scheme val="minor"/>
      </font>
      <numFmt numFmtId="0" formatCode="General"/>
      <alignment horizontal="left" vertical="bottom" textRotation="0" wrapText="0" indent="0" justifyLastLine="0" shrinkToFit="0" readingOrder="0"/>
      <border diagonalUp="0" diagonalDown="0" outline="0">
        <left/>
        <right/>
        <top style="thin">
          <color theme="4"/>
        </top>
        <bottom/>
      </border>
      <protection locked="1" hidden="1"/>
    </dxf>
    <dxf>
      <border outline="0">
        <top style="medium">
          <color rgb="FF4F81BD"/>
        </top>
      </border>
    </dxf>
    <dxf>
      <font>
        <b val="0"/>
        <i val="0"/>
        <strike val="0"/>
        <condense val="0"/>
        <extend val="0"/>
        <outline val="0"/>
        <shadow val="0"/>
        <u val="none"/>
        <vertAlign val="baseline"/>
        <sz val="9"/>
        <color theme="1"/>
        <name val="Calibri"/>
        <scheme val="minor"/>
      </font>
      <alignment horizontal="center" textRotation="0" indent="0" justifyLastLine="0" shrinkToFit="0"/>
      <protection locked="1" hidden="1"/>
    </dxf>
    <dxf>
      <font>
        <b/>
        <i val="0"/>
        <strike val="0"/>
        <condense val="0"/>
        <extend val="0"/>
        <outline val="0"/>
        <shadow val="0"/>
        <u val="none"/>
        <vertAlign val="baseline"/>
        <sz val="9"/>
        <color rgb="FFFFFFFF"/>
        <name val="Calibri"/>
        <scheme val="minor"/>
      </font>
      <fill>
        <patternFill patternType="solid">
          <fgColor indexed="64"/>
          <bgColor rgb="FF4F81BD"/>
        </patternFill>
      </fill>
      <alignment horizontal="center" vertical="center" textRotation="0" wrapText="0" indent="0" justifyLastLine="0" shrinkToFit="0" readingOrder="0"/>
      <protection locked="1" hidden="1"/>
    </dxf>
    <dxf>
      <font>
        <strike val="0"/>
        <outline val="0"/>
        <shadow val="0"/>
        <u val="none"/>
        <vertAlign val="baseline"/>
        <sz val="9"/>
        <name val="Calibri"/>
        <scheme val="minor"/>
      </font>
      <numFmt numFmtId="9" formatCode="&quot;$&quot;#,##0_);\(&quot;$&quot;#,##0\)"/>
      <fill>
        <patternFill patternType="none">
          <fgColor indexed="64"/>
          <bgColor indexed="65"/>
        </patternFill>
      </fill>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theme="1"/>
        <name val="Calibri"/>
        <scheme val="minor"/>
      </font>
      <numFmt numFmtId="164" formatCode="0.0%"/>
      <alignment horizontal="center" vertical="bottom" textRotation="0" wrapText="0" indent="0" justifyLastLine="0" shrinkToFit="0" readingOrder="0"/>
      <protection locked="1" hidden="1"/>
    </dxf>
    <dxf>
      <font>
        <strike val="0"/>
        <outline val="0"/>
        <shadow val="0"/>
        <u val="none"/>
        <vertAlign val="baseline"/>
        <sz val="9"/>
        <name val="Calibri"/>
        <scheme val="minor"/>
      </font>
      <numFmt numFmtId="9" formatCode="&quot;$&quot;#,##0_);\(&quot;$&quot;#,##0\)"/>
      <alignment horizontal="center" vertical="bottom" textRotation="0" wrapText="0" indent="0" justifyLastLine="0" shrinkToFit="0" readingOrder="0"/>
      <protection locked="1" hidden="1"/>
    </dxf>
    <dxf>
      <font>
        <strike val="0"/>
        <outline val="0"/>
        <shadow val="0"/>
        <u val="none"/>
        <vertAlign val="baseline"/>
        <sz val="9"/>
        <name val="Calibri"/>
        <scheme val="minor"/>
      </font>
      <numFmt numFmtId="3" formatCode="#,##0"/>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theme="1"/>
        <name val="Calibri"/>
        <scheme val="minor"/>
      </font>
      <numFmt numFmtId="3" formatCode="#,##0"/>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rgb="FF000000"/>
        <name val="Calibri"/>
        <scheme val="minor"/>
      </font>
      <numFmt numFmtId="0" formatCode="General"/>
      <alignment horizontal="left" vertical="bottom" textRotation="0" wrapText="0" indent="0" justifyLastLine="0" shrinkToFit="0" readingOrder="0"/>
      <border diagonalUp="0" diagonalDown="0" outline="0">
        <left/>
        <right/>
        <top style="thin">
          <color theme="4"/>
        </top>
        <bottom/>
      </border>
      <protection locked="1" hidden="1"/>
    </dxf>
    <dxf>
      <border outline="0">
        <top style="medium">
          <color rgb="FF4F81BD"/>
        </top>
      </border>
    </dxf>
    <dxf>
      <font>
        <strike val="0"/>
        <outline val="0"/>
        <shadow val="0"/>
        <u val="none"/>
        <vertAlign val="baseline"/>
        <sz val="9"/>
        <name val="Calibri"/>
        <scheme val="minor"/>
      </font>
      <alignment horizontal="center" textRotation="0" indent="0" justifyLastLine="0" shrinkToFit="0"/>
      <protection locked="1" hidden="1"/>
    </dxf>
    <dxf>
      <font>
        <b/>
        <i val="0"/>
        <strike val="0"/>
        <condense val="0"/>
        <extend val="0"/>
        <outline val="0"/>
        <shadow val="0"/>
        <u val="none"/>
        <vertAlign val="baseline"/>
        <sz val="9"/>
        <color theme="0"/>
        <name val="Calibri"/>
        <scheme val="minor"/>
      </font>
      <fill>
        <patternFill patternType="none">
          <fgColor indexed="64"/>
          <bgColor indexed="65"/>
        </patternFill>
      </fill>
      <alignment horizontal="center" vertical="center" textRotation="0" wrapText="0" indent="0" justifyLastLine="0" shrinkToFit="0" readingOrder="0"/>
      <protection locked="1" hidden="1"/>
    </dxf>
    <dxf>
      <font>
        <strike val="0"/>
        <outline val="0"/>
        <shadow val="0"/>
        <u val="none"/>
        <vertAlign val="baseline"/>
        <sz val="9"/>
        <name val="Calibri"/>
        <scheme val="minor"/>
      </font>
      <numFmt numFmtId="9" formatCode="&quot;$&quot;#,##0_);\(&quot;$&quot;#,##0\)"/>
      <fill>
        <patternFill patternType="none">
          <fgColor indexed="64"/>
          <bgColor indexed="65"/>
        </patternFill>
      </fill>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theme="1"/>
        <name val="Calibri"/>
        <scheme val="minor"/>
      </font>
      <numFmt numFmtId="164" formatCode="0.0%"/>
      <alignment horizontal="center" vertical="bottom" textRotation="0" wrapText="0" indent="0" justifyLastLine="0" shrinkToFit="0" readingOrder="0"/>
      <protection locked="1" hidden="1"/>
    </dxf>
    <dxf>
      <font>
        <strike val="0"/>
        <outline val="0"/>
        <shadow val="0"/>
        <u val="none"/>
        <vertAlign val="baseline"/>
        <sz val="9"/>
        <name val="Calibri"/>
        <scheme val="minor"/>
      </font>
      <numFmt numFmtId="9" formatCode="&quot;$&quot;#,##0_);\(&quot;$&quot;#,##0\)"/>
      <alignment horizontal="center" vertical="bottom" textRotation="0" wrapText="0" indent="0" justifyLastLine="0" shrinkToFit="0" readingOrder="0"/>
      <protection locked="1" hidden="1"/>
    </dxf>
    <dxf>
      <font>
        <strike val="0"/>
        <outline val="0"/>
        <shadow val="0"/>
        <u val="none"/>
        <vertAlign val="baseline"/>
        <sz val="9"/>
        <name val="Calibri"/>
        <scheme val="minor"/>
      </font>
      <numFmt numFmtId="3" formatCode="#,##0"/>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theme="1"/>
        <name val="Calibri"/>
        <scheme val="minor"/>
      </font>
      <numFmt numFmtId="3" formatCode="#,##0"/>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rgb="FF000000"/>
        <name val="Calibri"/>
        <scheme val="minor"/>
      </font>
      <numFmt numFmtId="0" formatCode="General"/>
      <alignment horizontal="left" vertical="bottom" textRotation="0" wrapText="0" indent="0" justifyLastLine="0" shrinkToFit="0" readingOrder="0"/>
      <border diagonalUp="0" diagonalDown="0" outline="0">
        <left/>
        <right/>
        <top style="thin">
          <color theme="4"/>
        </top>
        <bottom/>
      </border>
      <protection locked="1" hidden="1"/>
    </dxf>
    <dxf>
      <border outline="0">
        <top style="medium">
          <color rgb="FF4F81BD"/>
        </top>
      </border>
    </dxf>
    <dxf>
      <font>
        <strike val="0"/>
        <outline val="0"/>
        <shadow val="0"/>
        <u val="none"/>
        <vertAlign val="baseline"/>
        <sz val="9"/>
        <name val="Calibri"/>
        <scheme val="minor"/>
      </font>
      <alignment horizontal="center" textRotation="0" indent="0" justifyLastLine="0" shrinkToFit="0"/>
      <protection locked="1" hidden="1"/>
    </dxf>
    <dxf>
      <font>
        <b/>
        <i val="0"/>
        <strike val="0"/>
        <condense val="0"/>
        <extend val="0"/>
        <outline val="0"/>
        <shadow val="0"/>
        <u val="none"/>
        <vertAlign val="baseline"/>
        <sz val="9"/>
        <color theme="0"/>
        <name val="Calibri"/>
        <scheme val="minor"/>
      </font>
      <fill>
        <patternFill patternType="none">
          <fgColor indexed="64"/>
          <bgColor indexed="65"/>
        </patternFill>
      </fill>
      <alignment horizontal="center" vertical="center" textRotation="0" wrapText="0" indent="0" justifyLastLine="0" shrinkToFit="0" readingOrder="0"/>
      <protection locked="1" hidden="1"/>
    </dxf>
    <dxf>
      <font>
        <strike val="0"/>
        <outline val="0"/>
        <shadow val="0"/>
        <u val="none"/>
        <vertAlign val="baseline"/>
        <sz val="9"/>
        <name val="Calibri"/>
        <scheme val="minor"/>
      </font>
      <numFmt numFmtId="9" formatCode="&quot;$&quot;#,##0_);\(&quot;$&quot;#,##0\)"/>
      <fill>
        <patternFill patternType="none">
          <fgColor indexed="64"/>
          <bgColor indexed="65"/>
        </patternFill>
      </fill>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rgb="FF000000"/>
        <name val="Calibri"/>
        <scheme val="minor"/>
      </font>
      <numFmt numFmtId="164" formatCode="0.0%"/>
      <alignment horizontal="center" vertical="bottom" textRotation="0" wrapText="0" indent="0" justifyLastLine="0" shrinkToFit="0" readingOrder="0"/>
      <border diagonalUp="0" diagonalDown="0">
        <left/>
        <right/>
        <top style="thin">
          <color rgb="FF4F81BD"/>
        </top>
        <bottom/>
      </border>
      <protection locked="1" hidden="1"/>
    </dxf>
    <dxf>
      <font>
        <strike val="0"/>
        <outline val="0"/>
        <shadow val="0"/>
        <u val="none"/>
        <vertAlign val="baseline"/>
        <sz val="9"/>
        <name val="Calibri"/>
        <scheme val="minor"/>
      </font>
      <numFmt numFmtId="165" formatCode="&quot;$&quot;#,##0"/>
      <alignment horizontal="center" vertical="center" textRotation="0" wrapText="0" indent="0" justifyLastLine="0" shrinkToFit="0" readingOrder="0"/>
      <protection locked="1" hidden="1"/>
    </dxf>
    <dxf>
      <font>
        <strike val="0"/>
        <outline val="0"/>
        <shadow val="0"/>
        <u val="none"/>
        <vertAlign val="baseline"/>
        <sz val="9"/>
        <name val="Calibri"/>
        <scheme val="minor"/>
      </font>
      <numFmt numFmtId="3" formatCode="#,##0"/>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rgb="FF000000"/>
        <name val="Calibri"/>
        <scheme val="minor"/>
      </font>
      <numFmt numFmtId="0" formatCode="General"/>
      <alignment horizontal="left" vertical="bottom" textRotation="0" wrapText="0" indent="0" justifyLastLine="0" shrinkToFit="0" readingOrder="0"/>
      <border diagonalUp="0" diagonalDown="0" outline="0">
        <left/>
        <right/>
        <top style="thin">
          <color theme="4"/>
        </top>
        <bottom/>
      </border>
      <protection locked="1" hidden="1"/>
    </dxf>
    <dxf>
      <border outline="0">
        <top style="medium">
          <color rgb="FF4F81BD"/>
        </top>
      </border>
    </dxf>
    <dxf>
      <font>
        <strike val="0"/>
        <outline val="0"/>
        <shadow val="0"/>
        <u val="none"/>
        <vertAlign val="baseline"/>
        <sz val="9"/>
        <name val="Calibri"/>
        <scheme val="minor"/>
      </font>
      <alignment horizontal="center" textRotation="0" indent="0" justifyLastLine="0" shrinkToFit="0"/>
      <protection locked="1" hidden="1"/>
    </dxf>
    <dxf>
      <font>
        <b/>
        <i val="0"/>
        <strike val="0"/>
        <condense val="0"/>
        <extend val="0"/>
        <outline val="0"/>
        <shadow val="0"/>
        <u val="none"/>
        <vertAlign val="baseline"/>
        <sz val="9"/>
        <color theme="0"/>
        <name val="Calibri"/>
        <scheme val="minor"/>
      </font>
      <fill>
        <patternFill patternType="none">
          <fgColor indexed="64"/>
          <bgColor indexed="65"/>
        </patternFill>
      </fill>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theme="1"/>
        <name val="Calibri"/>
        <scheme val="minor"/>
      </font>
      <numFmt numFmtId="13" formatCode="0%"/>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9"/>
        <color theme="1"/>
        <name val="Calibri"/>
        <scheme val="minor"/>
      </font>
      <alignment horizontal="center" vertical="bottom" textRotation="0" wrapText="0" indent="0" justifyLastLine="0" shrinkToFit="0"/>
      <protection locked="1" hidden="1"/>
    </dxf>
    <dxf>
      <font>
        <b val="0"/>
        <i val="0"/>
        <strike val="0"/>
        <condense val="0"/>
        <extend val="0"/>
        <outline val="0"/>
        <shadow val="0"/>
        <u val="none"/>
        <vertAlign val="baseline"/>
        <sz val="9"/>
        <color theme="1"/>
        <name val="Calibri"/>
        <scheme val="minor"/>
      </font>
      <numFmt numFmtId="34" formatCode="_(&quot;$&quot;* #,##0.00_);_(&quot;$&quot;* \(#,##0.00\);_(&quot;$&quot;* &quot;-&quot;??_);_(@_)"/>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9"/>
        <color theme="1"/>
        <name val="Calibri"/>
        <scheme val="minor"/>
      </font>
      <numFmt numFmtId="165" formatCode="&quot;$&quot;#,##0"/>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theme="1"/>
        <name val="Calibri"/>
        <scheme val="minor"/>
      </font>
      <numFmt numFmtId="165" formatCode="&quot;$&quot;#,##0"/>
      <alignment horizontal="center" vertical="center"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9"/>
        <color theme="1"/>
        <name val="Calibri"/>
        <scheme val="minor"/>
      </font>
      <numFmt numFmtId="165" formatCode="&quot;$&quot;#,##0"/>
      <alignment horizontal="center" vertical="center" textRotation="0" wrapText="0" indent="0" justifyLastLine="0" shrinkToFit="0"/>
      <protection locked="1" hidden="1"/>
    </dxf>
    <dxf>
      <font>
        <b val="0"/>
        <i val="0"/>
        <strike val="0"/>
        <condense val="0"/>
        <extend val="0"/>
        <outline val="0"/>
        <shadow val="0"/>
        <u val="none"/>
        <vertAlign val="baseline"/>
        <sz val="9"/>
        <color theme="1"/>
        <name val="Calibri"/>
        <scheme val="minor"/>
      </font>
      <numFmt numFmtId="165" formatCode="&quot;$&quot;#,##0"/>
      <alignment horizontal="center" vertical="center"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9"/>
        <color theme="1"/>
        <name val="Calibri"/>
        <scheme val="minor"/>
      </font>
      <numFmt numFmtId="165" formatCode="&quot;$&quot;#,##0"/>
      <alignment horizontal="center" vertical="center" textRotation="0" wrapText="0" indent="0" justifyLastLine="0" shrinkToFit="0"/>
      <protection locked="1" hidden="1"/>
    </dxf>
    <dxf>
      <font>
        <b val="0"/>
        <i val="0"/>
        <strike val="0"/>
        <condense val="0"/>
        <extend val="0"/>
        <outline val="0"/>
        <shadow val="0"/>
        <u val="none"/>
        <vertAlign val="baseline"/>
        <sz val="9"/>
        <color theme="1"/>
        <name val="Calibri"/>
        <scheme val="minor"/>
      </font>
      <numFmt numFmtId="165" formatCode="&quot;$&quot;#,##0"/>
      <alignment horizontal="center" vertical="center"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9"/>
        <color theme="1"/>
        <name val="Calibri"/>
        <scheme val="minor"/>
      </font>
      <numFmt numFmtId="165" formatCode="&quot;$&quot;#,##0"/>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theme="1"/>
        <name val="Calibri"/>
        <scheme val="minor"/>
      </font>
      <numFmt numFmtId="165" formatCode="&quot;$&quot;#,##0"/>
      <alignment horizontal="center" vertical="center"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9"/>
        <color theme="1"/>
        <name val="Calibri"/>
        <scheme val="minor"/>
      </font>
      <numFmt numFmtId="165" formatCode="&quot;$&quot;#,##0"/>
      <alignment horizontal="center" vertical="center" textRotation="0" wrapText="0" indent="0" justifyLastLine="0" shrinkToFit="0"/>
      <protection locked="1" hidden="1"/>
    </dxf>
    <dxf>
      <font>
        <b val="0"/>
        <i val="0"/>
        <strike val="0"/>
        <condense val="0"/>
        <extend val="0"/>
        <outline val="0"/>
        <shadow val="0"/>
        <u val="none"/>
        <vertAlign val="baseline"/>
        <sz val="9"/>
        <color theme="1"/>
        <name val="Calibri"/>
        <scheme val="minor"/>
      </font>
      <alignment horizontal="left" vertical="center" textRotation="0" wrapText="0" indent="0" justifyLastLine="0" shrinkToFit="0" readingOrder="0"/>
      <border diagonalUp="0" diagonalDown="0" outline="0">
        <left style="thin">
          <color theme="4"/>
        </left>
        <right/>
        <top style="thin">
          <color theme="4"/>
        </top>
        <bottom/>
      </border>
      <protection locked="1" hidden="1"/>
    </dxf>
    <dxf>
      <font>
        <b val="0"/>
        <i val="0"/>
        <strike val="0"/>
        <condense val="0"/>
        <extend val="0"/>
        <outline val="0"/>
        <shadow val="0"/>
        <u val="none"/>
        <vertAlign val="baseline"/>
        <sz val="9"/>
        <color rgb="FF000000"/>
        <name val="Calibri"/>
        <scheme val="minor"/>
      </font>
      <numFmt numFmtId="0" formatCode="General"/>
      <alignment horizontal="left" vertical="bottom" textRotation="0" wrapText="0" indent="0" justifyLastLine="0" shrinkToFit="0" readingOrder="0"/>
      <border diagonalUp="0" diagonalDown="0" outline="0">
        <left/>
        <right/>
        <top style="thin">
          <color theme="4"/>
        </top>
        <bottom/>
      </border>
      <protection locked="1" hidden="1"/>
    </dxf>
    <dxf>
      <font>
        <strike val="0"/>
        <outline val="0"/>
        <shadow val="0"/>
        <u val="none"/>
        <vertAlign val="baseline"/>
        <sz val="9"/>
        <name val="Calibri"/>
        <scheme val="minor"/>
      </font>
      <alignment horizontal="center" textRotation="0" indent="0" justifyLastLine="0" shrinkToFit="0"/>
      <protection locked="1" hidden="1"/>
    </dxf>
    <dxf>
      <font>
        <b val="0"/>
        <i val="0"/>
        <strike val="0"/>
        <condense val="0"/>
        <extend val="0"/>
        <outline val="0"/>
        <shadow val="0"/>
        <u val="none"/>
        <vertAlign val="baseline"/>
        <sz val="9"/>
        <color theme="1"/>
        <name val="Calibri"/>
        <scheme val="minor"/>
      </font>
      <alignment horizontal="center" textRotation="0" indent="0" justifyLastLine="0" shrinkToFit="0"/>
      <protection locked="1" hidden="1"/>
    </dxf>
    <dxf>
      <font>
        <strike val="0"/>
        <outline val="0"/>
        <shadow val="0"/>
        <u val="none"/>
        <vertAlign val="baseline"/>
        <sz val="9"/>
        <name val="Calibri"/>
        <scheme val="minor"/>
      </font>
      <alignment horizontal="center" textRotation="0" indent="0" justifyLastLine="0" shrinkToFit="0"/>
      <protection locked="1" hidden="1"/>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protection locked="1" hidden="1"/>
    </dxf>
    <dxf>
      <font>
        <b val="0"/>
        <i val="0"/>
        <strike val="0"/>
        <condense val="0"/>
        <extend val="0"/>
        <outline val="0"/>
        <shadow val="0"/>
        <u val="none"/>
        <vertAlign val="baseline"/>
        <sz val="9"/>
        <color theme="1"/>
        <name val="Calibri"/>
        <scheme val="minor"/>
      </font>
      <numFmt numFmtId="3" formatCode="#,##0"/>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theme="1"/>
        <name val="Calibri"/>
        <scheme val="minor"/>
      </font>
      <numFmt numFmtId="3" formatCode="#,##0"/>
      <alignment horizontal="center" vertical="center" textRotation="0" wrapText="0" indent="0" justifyLastLine="0" shrinkToFit="0" readingOrder="0"/>
      <border diagonalUp="0" diagonalDown="0" outline="0">
        <left/>
        <right/>
        <top style="thin">
          <color theme="4"/>
        </top>
        <bottom style="thin">
          <color theme="4"/>
        </bottom>
      </border>
      <protection locked="1" hidden="1"/>
    </dxf>
    <dxf>
      <font>
        <b val="0"/>
        <i val="0"/>
        <strike val="0"/>
        <condense val="0"/>
        <extend val="0"/>
        <outline val="0"/>
        <shadow val="0"/>
        <u val="none"/>
        <vertAlign val="baseline"/>
        <sz val="9"/>
        <color rgb="FF000000"/>
        <name val="Calibri"/>
        <scheme val="minor"/>
      </font>
      <numFmt numFmtId="0" formatCode="General"/>
      <alignment horizontal="left" vertical="bottom" textRotation="0" wrapText="0" indent="0" justifyLastLine="0" shrinkToFit="0" readingOrder="0"/>
      <border diagonalUp="0" diagonalDown="0" outline="0">
        <left/>
        <right/>
        <top style="thin">
          <color theme="4"/>
        </top>
        <bottom/>
      </border>
      <protection locked="1" hidden="1"/>
    </dxf>
    <dxf>
      <font>
        <strike val="0"/>
        <outline val="0"/>
        <shadow val="0"/>
        <u val="none"/>
        <vertAlign val="baseline"/>
        <sz val="9"/>
        <name val="Calibri"/>
        <scheme val="minor"/>
      </font>
      <alignment horizontal="center" textRotation="0" indent="0" justifyLastLine="0" shrinkToFit="0"/>
      <protection locked="1" hidden="1"/>
    </dxf>
    <dxf>
      <font>
        <strike val="0"/>
        <outline val="0"/>
        <shadow val="0"/>
        <u val="none"/>
        <vertAlign val="baseline"/>
        <sz val="9"/>
        <name val="Calibri"/>
        <scheme val="minor"/>
      </font>
      <alignment horizontal="center" textRotation="0" indent="0" justifyLastLine="0" shrinkToFit="0"/>
      <protection locked="1" hidden="1"/>
    </dxf>
    <dxf>
      <font>
        <b val="0"/>
        <i val="0"/>
        <strike val="0"/>
        <condense val="0"/>
        <extend val="0"/>
        <outline val="0"/>
        <shadow val="0"/>
        <u val="none"/>
        <vertAlign val="baseline"/>
        <sz val="9"/>
        <color theme="1"/>
        <name val="Calibri"/>
        <scheme val="minor"/>
      </font>
      <numFmt numFmtId="9" formatCode="&quot;$&quot;#,##0_);\(&quot;$&quot;#,##0\)"/>
      <fill>
        <patternFill patternType="none">
          <fgColor indexed="64"/>
          <bgColor indexed="65"/>
        </patternFill>
      </fill>
      <alignment horizontal="center" vertical="center" textRotation="0" wrapText="0" indent="0" justifyLastLine="0" shrinkToFit="0" readingOrder="0"/>
      <border diagonalUp="0" diagonalDown="0" outline="0">
        <left/>
        <right style="thin">
          <color theme="4"/>
        </right>
        <top/>
        <bottom/>
      </border>
      <protection locked="1" hidden="1"/>
    </dxf>
    <dxf>
      <font>
        <b val="0"/>
        <i val="0"/>
        <strike val="0"/>
        <condense val="0"/>
        <extend val="0"/>
        <outline val="0"/>
        <shadow val="0"/>
        <u val="none"/>
        <vertAlign val="baseline"/>
        <sz val="9"/>
        <color theme="1"/>
        <name val="Calibri"/>
        <scheme val="minor"/>
      </font>
      <numFmt numFmtId="9" formatCode="&quot;$&quot;#,##0_);\(&quot;$&quot;#,##0\)"/>
      <fill>
        <patternFill patternType="none">
          <fgColor indexed="64"/>
          <bgColor indexed="65"/>
        </patternFill>
      </fill>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theme="1"/>
        <name val="Calibri"/>
        <scheme val="minor"/>
      </font>
      <numFmt numFmtId="9" formatCode="&quot;$&quot;#,##0_);\(&quot;$&quot;#,##0\)"/>
      <fill>
        <patternFill patternType="none">
          <fgColor indexed="64"/>
          <bgColor indexed="65"/>
        </patternFill>
      </fill>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theme="1"/>
        <name val="Calibri"/>
        <scheme val="minor"/>
      </font>
      <numFmt numFmtId="9" formatCode="&quot;$&quot;#,##0_);\(&quot;$&quot;#,##0\)"/>
      <fill>
        <patternFill patternType="none">
          <fgColor indexed="64"/>
          <bgColor indexed="65"/>
        </patternFill>
      </fill>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rgb="FF000000"/>
        <name val="Calibri"/>
        <scheme val="minor"/>
      </font>
      <numFmt numFmtId="0" formatCode="General"/>
      <alignment horizontal="left" vertical="bottom" textRotation="0" wrapText="0" indent="0" justifyLastLine="0" shrinkToFit="0" readingOrder="0"/>
      <border diagonalUp="0" diagonalDown="0" outline="0">
        <left/>
        <right/>
        <top style="thin">
          <color theme="4"/>
        </top>
        <bottom/>
      </border>
      <protection locked="1" hidden="1"/>
    </dxf>
    <dxf>
      <border outline="0">
        <top style="medium">
          <color rgb="FF4F81BD"/>
        </top>
      </border>
    </dxf>
    <dxf>
      <font>
        <b val="0"/>
        <i val="0"/>
        <strike val="0"/>
        <condense val="0"/>
        <extend val="0"/>
        <outline val="0"/>
        <shadow val="0"/>
        <u val="none"/>
        <vertAlign val="baseline"/>
        <sz val="9"/>
        <color theme="1"/>
        <name val="Calibri"/>
        <scheme val="minor"/>
      </font>
      <alignment horizontal="center" textRotation="0" indent="0" justifyLastLine="0" shrinkToFit="0"/>
      <protection locked="1" hidden="1"/>
    </dxf>
    <dxf>
      <border>
        <bottom style="thin">
          <color theme="4"/>
        </bottom>
      </border>
    </dxf>
    <dxf>
      <font>
        <b/>
        <i val="0"/>
        <strike val="0"/>
        <condense val="0"/>
        <extend val="0"/>
        <outline val="0"/>
        <shadow val="0"/>
        <u val="none"/>
        <vertAlign val="baseline"/>
        <sz val="9"/>
        <color rgb="FFFFFFFF"/>
        <name val="Calibri"/>
        <scheme val="minor"/>
      </font>
      <fill>
        <patternFill patternType="solid">
          <fgColor indexed="64"/>
          <bgColor rgb="FF4F81BD"/>
        </patternFill>
      </fill>
      <alignment horizontal="center" vertical="center"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9"/>
        <color theme="1"/>
        <name val="Calibri"/>
        <scheme val="minor"/>
      </font>
      <numFmt numFmtId="9" formatCode="&quot;$&quot;#,##0_);\(&quot;$&quot;#,##0\)"/>
      <fill>
        <patternFill patternType="none">
          <fgColor indexed="64"/>
          <bgColor indexed="65"/>
        </patternFill>
      </fill>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theme="1"/>
        <name val="Calibri"/>
        <scheme val="minor"/>
      </font>
      <numFmt numFmtId="165" formatCode="&quot;$&quot;#,##0"/>
      <alignment horizontal="center" vertical="center" textRotation="0" wrapText="0" indent="0" justifyLastLine="0" shrinkToFit="0"/>
      <protection locked="1" hidden="1"/>
    </dxf>
    <dxf>
      <font>
        <b val="0"/>
        <i val="0"/>
        <strike val="0"/>
        <condense val="0"/>
        <extend val="0"/>
        <outline val="0"/>
        <shadow val="0"/>
        <u val="none"/>
        <vertAlign val="baseline"/>
        <sz val="9"/>
        <color theme="1"/>
        <name val="Calibri"/>
        <scheme val="minor"/>
      </font>
      <numFmt numFmtId="164" formatCode="0.0%"/>
      <alignment horizontal="center" vertical="bottom" textRotation="0" wrapText="0" indent="0" justifyLastLine="0" shrinkToFit="0" readingOrder="0"/>
      <protection locked="1" hidden="1"/>
    </dxf>
    <dxf>
      <font>
        <b val="0"/>
        <i val="0"/>
        <strike val="0"/>
        <condense val="0"/>
        <extend val="0"/>
        <outline val="0"/>
        <shadow val="0"/>
        <u val="none"/>
        <vertAlign val="baseline"/>
        <sz val="9"/>
        <color theme="1"/>
        <name val="Calibri"/>
        <scheme val="minor"/>
      </font>
      <numFmt numFmtId="9" formatCode="&quot;$&quot;#,##0_);\(&quot;$&quot;#,##0\)"/>
      <alignment horizontal="center" vertical="bottom" textRotation="0" wrapText="0" indent="0" justifyLastLine="0" shrinkToFit="0" readingOrder="0"/>
      <protection locked="1" hidden="1"/>
    </dxf>
    <dxf>
      <font>
        <b val="0"/>
        <i val="0"/>
        <strike val="0"/>
        <condense val="0"/>
        <extend val="0"/>
        <outline val="0"/>
        <shadow val="0"/>
        <u val="none"/>
        <vertAlign val="baseline"/>
        <sz val="9"/>
        <color theme="1"/>
        <name val="Calibri"/>
        <scheme val="minor"/>
      </font>
      <numFmt numFmtId="3" formatCode="#,##0"/>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theme="1"/>
        <name val="Calibri"/>
        <scheme val="minor"/>
      </font>
      <numFmt numFmtId="3" formatCode="#,##0"/>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rgb="FF000000"/>
        <name val="Calibri"/>
        <scheme val="minor"/>
      </font>
      <numFmt numFmtId="0" formatCode="General"/>
      <alignment horizontal="left" vertical="bottom" textRotation="0" wrapText="0" indent="0" justifyLastLine="0" shrinkToFit="0" readingOrder="0"/>
      <border diagonalUp="0" diagonalDown="0" outline="0">
        <left/>
        <right/>
        <top style="thin">
          <color theme="4"/>
        </top>
        <bottom/>
      </border>
      <protection locked="1" hidden="1"/>
    </dxf>
    <dxf>
      <border outline="0">
        <top style="medium">
          <color rgb="FF4F81BD"/>
        </top>
      </border>
    </dxf>
    <dxf>
      <font>
        <b val="0"/>
        <i val="0"/>
        <strike val="0"/>
        <condense val="0"/>
        <extend val="0"/>
        <outline val="0"/>
        <shadow val="0"/>
        <u val="none"/>
        <vertAlign val="baseline"/>
        <sz val="9"/>
        <color theme="1"/>
        <name val="Calibri"/>
        <scheme val="minor"/>
      </font>
      <alignment horizontal="center" textRotation="0" indent="0" justifyLastLine="0" shrinkToFit="0"/>
      <protection locked="1" hidden="1"/>
    </dxf>
    <dxf>
      <font>
        <b/>
        <i val="0"/>
        <strike val="0"/>
        <condense val="0"/>
        <extend val="0"/>
        <outline val="0"/>
        <shadow val="0"/>
        <u val="none"/>
        <vertAlign val="baseline"/>
        <sz val="9"/>
        <color rgb="FFFFFFFF"/>
        <name val="Calibri"/>
        <scheme val="minor"/>
      </font>
      <fill>
        <patternFill patternType="solid">
          <fgColor indexed="64"/>
          <bgColor rgb="FF4F81BD"/>
        </patternFill>
      </fill>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theme="1"/>
        <name val="Calibri"/>
        <scheme val="minor"/>
      </font>
      <numFmt numFmtId="9" formatCode="&quot;$&quot;#,##0_);\(&quot;$&quot;#,##0\)"/>
      <fill>
        <patternFill patternType="none">
          <fgColor indexed="64"/>
          <bgColor indexed="65"/>
        </patternFill>
      </fill>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theme="1"/>
        <name val="Calibri"/>
        <scheme val="minor"/>
      </font>
      <numFmt numFmtId="165" formatCode="&quot;$&quot;#,##0"/>
      <alignment horizontal="center" vertical="center" textRotation="0" wrapText="0" indent="0" justifyLastLine="0" shrinkToFit="0"/>
      <protection locked="1" hidden="1"/>
    </dxf>
    <dxf>
      <font>
        <b val="0"/>
        <i val="0"/>
        <strike val="0"/>
        <condense val="0"/>
        <extend val="0"/>
        <outline val="0"/>
        <shadow val="0"/>
        <u val="none"/>
        <vertAlign val="baseline"/>
        <sz val="9"/>
        <color theme="1"/>
        <name val="Calibri"/>
        <scheme val="minor"/>
      </font>
      <numFmt numFmtId="165" formatCode="&quot;$&quot;#,##0"/>
      <alignment horizontal="center" vertical="center" textRotation="0" wrapText="0" indent="0" justifyLastLine="0" shrinkToFit="0"/>
      <protection locked="1" hidden="1"/>
    </dxf>
    <dxf>
      <font>
        <b val="0"/>
        <i val="0"/>
        <strike val="0"/>
        <condense val="0"/>
        <extend val="0"/>
        <outline val="0"/>
        <shadow val="0"/>
        <u val="none"/>
        <vertAlign val="baseline"/>
        <sz val="9"/>
        <color theme="1"/>
        <name val="Calibri"/>
        <scheme val="minor"/>
      </font>
      <numFmt numFmtId="3" formatCode="#,##0"/>
      <alignment horizontal="center" vertical="center" textRotation="0" wrapText="0" indent="0" justifyLastLine="0" shrinkToFit="0"/>
      <protection locked="1" hidden="1"/>
    </dxf>
    <dxf>
      <font>
        <b val="0"/>
        <i val="0"/>
        <strike val="0"/>
        <condense val="0"/>
        <extend val="0"/>
        <outline val="0"/>
        <shadow val="0"/>
        <u val="none"/>
        <vertAlign val="baseline"/>
        <sz val="9"/>
        <color rgb="FF000000"/>
        <name val="Calibri"/>
        <scheme val="minor"/>
      </font>
      <numFmt numFmtId="0" formatCode="General"/>
      <alignment horizontal="left" vertical="bottom" textRotation="0" wrapText="0" indent="0" justifyLastLine="0" shrinkToFit="0" readingOrder="0"/>
      <border diagonalUp="0" diagonalDown="0" outline="0">
        <left/>
        <right/>
        <top style="thin">
          <color theme="4"/>
        </top>
        <bottom/>
      </border>
      <protection locked="1" hidden="1"/>
    </dxf>
    <dxf>
      <border outline="0">
        <top style="medium">
          <color rgb="FF4F81BD"/>
        </top>
      </border>
    </dxf>
    <dxf>
      <font>
        <b val="0"/>
        <i val="0"/>
        <strike val="0"/>
        <condense val="0"/>
        <extend val="0"/>
        <outline val="0"/>
        <shadow val="0"/>
        <u val="none"/>
        <vertAlign val="baseline"/>
        <sz val="9"/>
        <color theme="1"/>
        <name val="Calibri"/>
        <scheme val="minor"/>
      </font>
      <alignment horizontal="center" textRotation="0" indent="0" justifyLastLine="0" shrinkToFit="0"/>
      <protection locked="1" hidden="1"/>
    </dxf>
    <dxf>
      <font>
        <b/>
        <i val="0"/>
        <strike val="0"/>
        <condense val="0"/>
        <extend val="0"/>
        <outline val="0"/>
        <shadow val="0"/>
        <u val="none"/>
        <vertAlign val="baseline"/>
        <sz val="9"/>
        <color rgb="FFFFFFFF"/>
        <name val="Calibri"/>
        <scheme val="minor"/>
      </font>
      <fill>
        <patternFill patternType="solid">
          <fgColor indexed="64"/>
          <bgColor rgb="FF4F81BD"/>
        </patternFill>
      </fill>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theme="1"/>
        <name val="Calibri"/>
        <scheme val="minor"/>
      </font>
      <numFmt numFmtId="9" formatCode="&quot;$&quot;#,##0_);\(&quot;$&quot;#,##0\)"/>
      <fill>
        <patternFill patternType="none">
          <fgColor indexed="64"/>
          <bgColor indexed="65"/>
        </patternFill>
      </fill>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theme="1"/>
        <name val="Calibri"/>
        <scheme val="minor"/>
      </font>
      <numFmt numFmtId="165" formatCode="&quot;$&quot;#,##0"/>
      <alignment horizontal="center" vertical="center" textRotation="0" wrapText="0" indent="0" justifyLastLine="0" shrinkToFit="0"/>
      <protection locked="1" hidden="1"/>
    </dxf>
    <dxf>
      <font>
        <b val="0"/>
        <i val="0"/>
        <strike val="0"/>
        <condense val="0"/>
        <extend val="0"/>
        <outline val="0"/>
        <shadow val="0"/>
        <u val="none"/>
        <vertAlign val="baseline"/>
        <sz val="9"/>
        <color theme="1"/>
        <name val="Calibri"/>
        <scheme val="minor"/>
      </font>
      <numFmt numFmtId="5" formatCode="#,##0_);\(#,##0\)"/>
      <fill>
        <patternFill patternType="solid">
          <fgColor indexed="64"/>
          <bgColor theme="0"/>
        </patternFill>
      </fill>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rgb="FF000000"/>
        <name val="Calibri"/>
        <scheme val="minor"/>
      </font>
      <numFmt numFmtId="0" formatCode="General"/>
      <alignment horizontal="left" vertical="bottom" textRotation="0" wrapText="0" indent="0" justifyLastLine="0" shrinkToFit="0" readingOrder="0"/>
      <border diagonalUp="0" diagonalDown="0" outline="0">
        <left/>
        <right/>
        <top style="thin">
          <color theme="4"/>
        </top>
        <bottom/>
      </border>
      <protection locked="1" hidden="1"/>
    </dxf>
    <dxf>
      <border outline="0">
        <top style="medium">
          <color rgb="FF4F81BD"/>
        </top>
      </border>
    </dxf>
    <dxf>
      <font>
        <b val="0"/>
        <i val="0"/>
        <strike val="0"/>
        <condense val="0"/>
        <extend val="0"/>
        <outline val="0"/>
        <shadow val="0"/>
        <u val="none"/>
        <vertAlign val="baseline"/>
        <sz val="9"/>
        <color theme="1"/>
        <name val="Calibri"/>
        <scheme val="minor"/>
      </font>
      <alignment horizontal="center" textRotation="0" indent="0" justifyLastLine="0" shrinkToFit="0"/>
      <protection locked="1" hidden="1"/>
    </dxf>
    <dxf>
      <font>
        <strike val="0"/>
        <outline val="0"/>
        <shadow val="0"/>
        <u val="none"/>
        <vertAlign val="baseline"/>
        <sz val="9"/>
        <name val="Calibri"/>
        <scheme val="minor"/>
      </font>
      <alignment horizontal="center" textRotation="0" indent="0" justifyLastLine="0" shrinkToFit="0"/>
      <protection locked="1" hidden="1"/>
    </dxf>
    <dxf>
      <font>
        <strike val="0"/>
        <outline val="0"/>
        <shadow val="0"/>
        <u val="none"/>
        <vertAlign val="baseline"/>
        <sz val="9"/>
        <name val="Calibri"/>
        <scheme val="minor"/>
      </font>
      <numFmt numFmtId="9" formatCode="&quot;$&quot;#,##0_);\(&quot;$&quot;#,##0\)"/>
      <fill>
        <patternFill patternType="none">
          <fgColor indexed="64"/>
          <bgColor indexed="65"/>
        </patternFill>
      </fill>
      <alignment horizontal="center" vertical="center" textRotation="0" wrapText="0" indent="0" justifyLastLine="0" shrinkToFit="0" readingOrder="0"/>
      <border diagonalUp="0" diagonalDown="0" outline="0">
        <left/>
        <right/>
        <top style="thin">
          <color theme="4"/>
        </top>
        <bottom style="thin">
          <color theme="4"/>
        </bottom>
      </border>
      <protection locked="1" hidden="1"/>
    </dxf>
    <dxf>
      <font>
        <strike val="0"/>
        <outline val="0"/>
        <shadow val="0"/>
        <u val="none"/>
        <vertAlign val="baseline"/>
        <sz val="9"/>
        <name val="Calibri"/>
        <scheme val="minor"/>
      </font>
      <numFmt numFmtId="9" formatCode="&quot;$&quot;#,##0_);\(&quot;$&quot;#,##0\)"/>
      <alignment horizontal="center" vertical="bottom" textRotation="0" wrapText="0" indent="0" justifyLastLine="0" shrinkToFit="0" readingOrder="0"/>
      <border diagonalUp="0" diagonalDown="0" outline="0">
        <left/>
        <right/>
        <top style="thin">
          <color theme="4"/>
        </top>
        <bottom style="thin">
          <color theme="4"/>
        </bottom>
      </border>
      <protection locked="1" hidden="1"/>
    </dxf>
    <dxf>
      <font>
        <b val="0"/>
        <i val="0"/>
        <strike val="0"/>
        <condense val="0"/>
        <extend val="0"/>
        <outline val="0"/>
        <shadow val="0"/>
        <u val="none"/>
        <vertAlign val="baseline"/>
        <sz val="9"/>
        <color rgb="FF000000"/>
        <name val="Calibri"/>
        <scheme val="minor"/>
      </font>
      <numFmt numFmtId="164" formatCode="0.0%"/>
      <alignment horizontal="center" vertical="bottom" textRotation="0" wrapText="0" indent="0" justifyLastLine="0" shrinkToFit="0" readingOrder="0"/>
      <border diagonalUp="0" diagonalDown="0" outline="0">
        <left/>
        <right/>
        <top style="thin">
          <color theme="4"/>
        </top>
        <bottom style="thin">
          <color theme="4"/>
        </bottom>
      </border>
      <protection locked="1" hidden="1"/>
    </dxf>
    <dxf>
      <font>
        <strike val="0"/>
        <outline val="0"/>
        <shadow val="0"/>
        <u val="none"/>
        <vertAlign val="baseline"/>
        <sz val="9"/>
        <name val="Calibri"/>
        <scheme val="minor"/>
      </font>
      <numFmt numFmtId="9" formatCode="&quot;$&quot;#,##0_);\(&quot;$&quot;#,##0\)"/>
      <alignment horizontal="center" vertical="bottom" textRotation="0" wrapText="0" indent="0" justifyLastLine="0" shrinkToFit="0"/>
      <border diagonalUp="0" diagonalDown="0" outline="0">
        <left/>
        <right/>
        <top style="thin">
          <color theme="4"/>
        </top>
        <bottom style="thin">
          <color theme="4"/>
        </bottom>
      </border>
      <protection locked="1" hidden="1"/>
    </dxf>
    <dxf>
      <font>
        <strike val="0"/>
        <outline val="0"/>
        <shadow val="0"/>
        <u val="none"/>
        <vertAlign val="baseline"/>
        <sz val="9"/>
        <name val="Calibri"/>
        <scheme val="minor"/>
      </font>
      <numFmt numFmtId="3" formatCode="#,##0"/>
      <alignment horizontal="center" vertical="center" textRotation="0" wrapText="0" indent="0" justifyLastLine="0" shrinkToFit="0" readingOrder="0"/>
      <border diagonalUp="0" diagonalDown="0" outline="0">
        <left/>
        <right/>
        <top style="thin">
          <color theme="4"/>
        </top>
        <bottom style="thin">
          <color theme="4"/>
        </bottom>
      </border>
      <protection locked="1" hidden="1"/>
    </dxf>
    <dxf>
      <font>
        <b val="0"/>
        <i val="0"/>
        <strike val="0"/>
        <condense val="0"/>
        <extend val="0"/>
        <outline val="0"/>
        <shadow val="0"/>
        <u val="none"/>
        <vertAlign val="baseline"/>
        <sz val="9"/>
        <color rgb="FF000000"/>
        <name val="Calibri"/>
        <scheme val="minor"/>
      </font>
      <numFmt numFmtId="0" formatCode="General"/>
      <alignment horizontal="left" vertical="bottom" textRotation="0" wrapText="0" indent="0" justifyLastLine="0" shrinkToFit="0" readingOrder="0"/>
      <border diagonalUp="0" diagonalDown="0" outline="0">
        <left/>
        <right/>
        <top style="thin">
          <color theme="4"/>
        </top>
        <bottom/>
      </border>
      <protection locked="1" hidden="1"/>
    </dxf>
    <dxf>
      <border>
        <top style="thin">
          <color theme="4"/>
        </top>
      </border>
    </dxf>
    <dxf>
      <border diagonalUp="0" diagonalDown="0">
        <left style="thin">
          <color theme="4"/>
        </left>
        <right style="thin">
          <color theme="4"/>
        </right>
        <top style="thin">
          <color theme="4"/>
        </top>
        <bottom style="thin">
          <color theme="4"/>
        </bottom>
      </border>
    </dxf>
    <dxf>
      <font>
        <strike val="0"/>
        <outline val="0"/>
        <shadow val="0"/>
        <u val="none"/>
        <vertAlign val="baseline"/>
        <sz val="9"/>
        <name val="Calibri"/>
        <scheme val="minor"/>
      </font>
      <alignment horizontal="center" textRotation="0" indent="0" justifyLastLine="0" shrinkToFit="0"/>
      <protection locked="1" hidden="1"/>
    </dxf>
    <dxf>
      <border>
        <bottom style="thin">
          <color theme="4"/>
        </bottom>
      </border>
    </dxf>
    <dxf>
      <font>
        <b/>
        <i val="0"/>
        <strike val="0"/>
        <condense val="0"/>
        <extend val="0"/>
        <outline val="0"/>
        <shadow val="0"/>
        <u val="none"/>
        <vertAlign val="baseline"/>
        <sz val="9"/>
        <color theme="0"/>
        <name val="Calibri"/>
        <scheme val="minor"/>
      </font>
      <fill>
        <patternFill patternType="none">
          <fgColor indexed="64"/>
          <bgColor indexed="65"/>
        </patternFill>
      </fill>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theme="1"/>
        <name val="Calibri"/>
        <scheme val="minor"/>
      </font>
      <numFmt numFmtId="164" formatCode="0.0%"/>
      <alignment horizontal="center" vertical="bottom" textRotation="0" indent="0" justifyLastLine="0" shrinkToFit="0" readingOrder="0"/>
      <protection locked="1" hidden="1"/>
    </dxf>
    <dxf>
      <font>
        <b val="0"/>
        <i val="0"/>
        <strike val="0"/>
        <condense val="0"/>
        <extend val="0"/>
        <outline val="0"/>
        <shadow val="0"/>
        <u val="none"/>
        <vertAlign val="baseline"/>
        <sz val="9"/>
        <color theme="1"/>
        <name val="Calibri"/>
        <scheme val="minor"/>
      </font>
      <alignment horizontal="left" vertical="bottom" textRotation="0" wrapText="0" indent="0" justifyLastLine="0" shrinkToFit="0" readingOrder="0"/>
      <border diagonalUp="0" diagonalDown="0" outline="0">
        <left/>
        <right/>
        <top style="thin">
          <color theme="4"/>
        </top>
        <bottom/>
      </border>
    </dxf>
    <dxf>
      <border outline="0">
        <left style="thin">
          <color theme="4"/>
        </left>
        <top style="thin">
          <color theme="4"/>
        </top>
      </border>
    </dxf>
    <dxf>
      <alignment horizontal="center" vertical="bottom" textRotation="0" indent="0" justifyLastLine="0" shrinkToFit="0" readingOrder="0"/>
    </dxf>
    <dxf>
      <border outline="0">
        <bottom style="thin">
          <color theme="4"/>
        </bottom>
      </border>
    </dxf>
    <dxf>
      <font>
        <b/>
        <i val="0"/>
        <strike val="0"/>
        <condense val="0"/>
        <extend val="0"/>
        <outline val="0"/>
        <shadow val="0"/>
        <u val="none"/>
        <vertAlign val="baseline"/>
        <sz val="9"/>
        <color theme="0"/>
        <name val="Calibri"/>
        <scheme val="minor"/>
      </font>
      <fill>
        <patternFill patternType="solid">
          <fgColor theme="4"/>
          <bgColor theme="4"/>
        </patternFill>
      </fill>
      <alignment horizontal="center" vertical="bottom" textRotation="0" wrapText="1" indent="0" justifyLastLine="0" shrinkToFit="0" readingOrder="0"/>
      <border diagonalUp="0" diagonalDown="0" outline="0">
        <left style="thin">
          <color theme="4"/>
        </left>
        <right style="thin">
          <color theme="4"/>
        </right>
        <top/>
        <bottom/>
      </border>
    </dxf>
    <dxf>
      <font>
        <b val="0"/>
        <i val="0"/>
        <strike val="0"/>
        <condense val="0"/>
        <extend val="0"/>
        <outline val="0"/>
        <shadow val="0"/>
        <u val="none"/>
        <vertAlign val="baseline"/>
        <sz val="9"/>
        <color auto="1"/>
        <name val="Calibri"/>
        <scheme val="minor"/>
      </font>
      <numFmt numFmtId="164" formatCode="0.0%"/>
      <fill>
        <patternFill patternType="solid">
          <fgColor indexed="64"/>
          <bgColor rgb="FFFFFF00"/>
        </patternFill>
      </fill>
      <alignment horizontal="center" vertical="bottom" textRotation="0" wrapText="0" indent="0" justifyLastLine="0" shrinkToFit="0" readingOrder="0"/>
      <border diagonalUp="0" diagonalDown="0">
        <left style="thin">
          <color rgb="FF4F81BD"/>
        </left>
        <right/>
        <top style="thin">
          <color rgb="FF4F81BD"/>
        </top>
        <bottom style="thin">
          <color rgb="FF4F81BD"/>
        </bottom>
      </border>
      <protection locked="1" hidden="1"/>
    </dxf>
    <dxf>
      <font>
        <b val="0"/>
        <i val="0"/>
        <strike val="0"/>
        <condense val="0"/>
        <extend val="0"/>
        <outline val="0"/>
        <shadow val="0"/>
        <u val="none"/>
        <vertAlign val="baseline"/>
        <sz val="9"/>
        <color auto="1"/>
        <name val="Calibri"/>
        <scheme val="minor"/>
      </font>
      <numFmt numFmtId="3" formatCode="#,##0"/>
      <fill>
        <patternFill patternType="solid">
          <fgColor indexed="64"/>
          <bgColor theme="0"/>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
        <color theme="1"/>
        <name val="Calibri"/>
        <scheme val="minor"/>
      </font>
      <alignment horizontal="left" vertical="bottom" textRotation="0" wrapText="0" indent="0" justifyLastLine="0" shrinkToFit="0" readingOrder="0"/>
      <border diagonalUp="0" diagonalDown="0" outline="0">
        <left/>
        <right/>
        <top style="thin">
          <color theme="4"/>
        </top>
        <bottom/>
      </border>
      <protection locked="1" hidden="1"/>
    </dxf>
    <dxf>
      <font>
        <b val="0"/>
        <i val="0"/>
        <strike val="0"/>
        <condense val="0"/>
        <extend val="0"/>
        <outline val="0"/>
        <shadow val="0"/>
        <u val="none"/>
        <vertAlign val="baseline"/>
        <sz val="9"/>
        <color theme="1"/>
        <name val="Calibri"/>
        <scheme val="minor"/>
      </font>
      <protection locked="1" hidden="1"/>
    </dxf>
    <dxf>
      <border outline="0">
        <bottom style="thin">
          <color rgb="FF4F81BD"/>
        </bottom>
      </border>
    </dxf>
    <dxf>
      <font>
        <b/>
        <i val="0"/>
        <strike val="0"/>
        <condense val="0"/>
        <extend val="0"/>
        <outline val="0"/>
        <shadow val="0"/>
        <u val="none"/>
        <vertAlign val="baseline"/>
        <sz val="9"/>
        <color rgb="FFFFFFFF"/>
        <name val="Calibri"/>
        <scheme val="minor"/>
      </font>
      <fill>
        <patternFill patternType="solid">
          <fgColor indexed="64"/>
          <bgColor rgb="FF4F81BD"/>
        </patternFill>
      </fill>
      <alignment horizontal="general" vertical="center" textRotation="0" wrapText="0" indent="0" justifyLastLine="0" shrinkToFit="0" readingOrder="0"/>
      <protection locked="1" hidden="1"/>
    </dxf>
    <dxf>
      <font>
        <b val="0"/>
        <i val="0"/>
        <strike val="0"/>
        <condense val="0"/>
        <extend val="0"/>
        <outline val="0"/>
        <shadow val="0"/>
        <u val="none"/>
        <vertAlign val="baseline"/>
        <sz val="9"/>
        <color theme="1"/>
        <name val="Calibri"/>
        <scheme val="minor"/>
      </font>
      <numFmt numFmtId="13" formatCode="0%"/>
      <alignment horizontal="center" vertical="bottom" textRotation="0" wrapText="0" indent="0" justifyLastLine="0" shrinkToFit="0" readingOrder="0"/>
      <border diagonalUp="0" diagonalDown="0" outline="0">
        <left/>
        <right/>
        <top style="thin">
          <color rgb="FF4F81BD"/>
        </top>
        <bottom style="thin">
          <color rgb="FF4F81BD"/>
        </bottom>
      </border>
      <protection locked="1" hidden="1"/>
    </dxf>
    <dxf>
      <font>
        <b val="0"/>
        <i val="0"/>
        <strike val="0"/>
        <condense val="0"/>
        <extend val="0"/>
        <outline val="0"/>
        <shadow val="0"/>
        <u val="none"/>
        <vertAlign val="baseline"/>
        <sz val="9"/>
        <color theme="1"/>
        <name val="Calibri"/>
        <scheme val="minor"/>
      </font>
      <numFmt numFmtId="13" formatCode="0%"/>
      <alignment horizontal="center" vertical="bottom" textRotation="0" wrapText="0" indent="0" justifyLastLine="0" shrinkToFit="0" readingOrder="0"/>
      <border diagonalUp="0" diagonalDown="0">
        <left/>
        <right/>
        <top style="thin">
          <color rgb="FF4F81BD"/>
        </top>
        <bottom style="thin">
          <color rgb="FF4F81BD"/>
        </bottom>
      </border>
      <protection locked="1" hidden="1"/>
    </dxf>
    <dxf>
      <font>
        <b val="0"/>
        <i val="0"/>
        <strike val="0"/>
        <condense val="0"/>
        <extend val="0"/>
        <outline val="0"/>
        <shadow val="0"/>
        <u val="none"/>
        <vertAlign val="baseline"/>
        <sz val="9"/>
        <color theme="1"/>
        <name val="Calibri"/>
        <scheme val="minor"/>
      </font>
      <numFmt numFmtId="13" formatCode="0%"/>
      <alignment horizontal="center" vertical="bottom" textRotation="0" wrapText="0" indent="0" justifyLastLine="0" shrinkToFit="0" readingOrder="0"/>
      <border diagonalUp="0" diagonalDown="0">
        <left/>
        <right/>
        <top style="thin">
          <color rgb="FF4F81BD"/>
        </top>
        <bottom style="thin">
          <color rgb="FF4F81BD"/>
        </bottom>
      </border>
      <protection locked="1" hidden="1"/>
    </dxf>
    <dxf>
      <font>
        <b val="0"/>
        <i val="0"/>
        <strike val="0"/>
        <condense val="0"/>
        <extend val="0"/>
        <outline val="0"/>
        <shadow val="0"/>
        <u val="none"/>
        <vertAlign val="baseline"/>
        <sz val="9"/>
        <color theme="1"/>
        <name val="Calibri"/>
        <scheme val="minor"/>
      </font>
      <numFmt numFmtId="13" formatCode="0%"/>
      <alignment horizontal="center" vertical="bottom" textRotation="0" wrapText="0" indent="0" justifyLastLine="0" shrinkToFit="0" readingOrder="0"/>
      <border diagonalUp="0" diagonalDown="0">
        <left/>
        <right/>
        <top style="thin">
          <color rgb="FF4F81BD"/>
        </top>
        <bottom style="thin">
          <color rgb="FF4F81BD"/>
        </bottom>
      </border>
      <protection locked="1" hidden="1"/>
    </dxf>
    <dxf>
      <font>
        <b val="0"/>
        <i val="0"/>
        <strike val="0"/>
        <condense val="0"/>
        <extend val="0"/>
        <outline val="0"/>
        <shadow val="0"/>
        <u val="none"/>
        <vertAlign val="baseline"/>
        <sz val="9"/>
        <color theme="1"/>
        <name val="Calibri"/>
        <scheme val="minor"/>
      </font>
      <numFmt numFmtId="13" formatCode="0%"/>
      <alignment horizontal="center" vertical="bottom" textRotation="0" wrapText="0" indent="0" justifyLastLine="0" shrinkToFit="0" readingOrder="0"/>
      <border diagonalUp="0" diagonalDown="0">
        <left/>
        <right/>
        <top style="thin">
          <color rgb="FF4F81BD"/>
        </top>
        <bottom style="thin">
          <color rgb="FF4F81BD"/>
        </bottom>
      </border>
      <protection locked="1" hidden="1"/>
    </dxf>
    <dxf>
      <font>
        <b val="0"/>
        <i val="0"/>
        <strike val="0"/>
        <condense val="0"/>
        <extend val="0"/>
        <outline val="0"/>
        <shadow val="0"/>
        <u val="none"/>
        <vertAlign val="baseline"/>
        <sz val="9"/>
        <color theme="1"/>
        <name val="Calibri"/>
        <scheme val="minor"/>
      </font>
      <numFmt numFmtId="13" formatCode="0%"/>
      <alignment horizontal="center" vertical="bottom" textRotation="0" wrapText="0" indent="0" justifyLastLine="0" shrinkToFit="0" readingOrder="0"/>
      <border diagonalUp="0" diagonalDown="0">
        <left/>
        <right/>
        <top style="thin">
          <color rgb="FF4F81BD"/>
        </top>
        <bottom style="thin">
          <color rgb="FF4F81BD"/>
        </bottom>
      </border>
      <protection locked="1" hidden="1"/>
    </dxf>
    <dxf>
      <font>
        <b val="0"/>
        <i val="0"/>
        <strike val="0"/>
        <condense val="0"/>
        <extend val="0"/>
        <outline val="0"/>
        <shadow val="0"/>
        <u val="none"/>
        <vertAlign val="baseline"/>
        <sz val="9"/>
        <color theme="1"/>
        <name val="Calibri"/>
        <scheme val="minor"/>
      </font>
      <numFmt numFmtId="13" formatCode="0%"/>
      <alignment horizontal="center" vertical="bottom" textRotation="0" wrapText="0" indent="0" justifyLastLine="0" shrinkToFit="0" readingOrder="0"/>
      <border diagonalUp="0" diagonalDown="0">
        <left/>
        <right/>
        <top style="thin">
          <color rgb="FF4F81BD"/>
        </top>
        <bottom style="thin">
          <color rgb="FF4F81BD"/>
        </bottom>
      </border>
      <protection locked="1" hidden="1"/>
    </dxf>
    <dxf>
      <font>
        <b val="0"/>
        <i val="0"/>
        <strike val="0"/>
        <condense val="0"/>
        <extend val="0"/>
        <outline val="0"/>
        <shadow val="0"/>
        <u val="none"/>
        <vertAlign val="baseline"/>
        <sz val="9"/>
        <color theme="1"/>
        <name val="Calibri"/>
        <scheme val="minor"/>
      </font>
      <numFmt numFmtId="13" formatCode="0%"/>
      <alignment horizontal="center" vertical="bottom" textRotation="0" wrapText="0" indent="0" justifyLastLine="0" shrinkToFit="0" readingOrder="0"/>
      <border diagonalUp="0" diagonalDown="0">
        <left/>
        <right/>
        <top style="thin">
          <color rgb="FF4F81BD"/>
        </top>
        <bottom style="thin">
          <color rgb="FF4F81BD"/>
        </bottom>
      </border>
      <protection locked="1" hidden="1"/>
    </dxf>
    <dxf>
      <font>
        <b val="0"/>
        <i val="0"/>
        <strike val="0"/>
        <condense val="0"/>
        <extend val="0"/>
        <outline val="0"/>
        <shadow val="0"/>
        <u val="none"/>
        <vertAlign val="baseline"/>
        <sz val="9"/>
        <color theme="1"/>
        <name val="Calibri"/>
        <scheme val="minor"/>
      </font>
      <numFmt numFmtId="13" formatCode="0%"/>
      <alignment horizontal="center" vertical="bottom" textRotation="0" wrapText="0" indent="0" justifyLastLine="0" shrinkToFit="0" readingOrder="0"/>
      <border diagonalUp="0" diagonalDown="0">
        <left/>
        <right/>
        <top style="thin">
          <color rgb="FF4F81BD"/>
        </top>
        <bottom style="thin">
          <color rgb="FF4F81BD"/>
        </bottom>
      </border>
      <protection locked="1" hidden="1"/>
    </dxf>
    <dxf>
      <font>
        <b val="0"/>
        <i val="0"/>
        <strike val="0"/>
        <condense val="0"/>
        <extend val="0"/>
        <outline val="0"/>
        <shadow val="0"/>
        <u val="none"/>
        <vertAlign val="baseline"/>
        <sz val="9"/>
        <color theme="1"/>
        <name val="Calibri"/>
        <scheme val="minor"/>
      </font>
      <numFmt numFmtId="13" formatCode="0%"/>
      <alignment horizontal="center" vertical="bottom" textRotation="0" wrapText="0" indent="0" justifyLastLine="0" shrinkToFit="0" readingOrder="0"/>
      <border diagonalUp="0" diagonalDown="0">
        <left/>
        <right/>
        <top style="thin">
          <color rgb="FF4F81BD"/>
        </top>
        <bottom style="thin">
          <color rgb="FF4F81BD"/>
        </bottom>
      </border>
      <protection locked="1" hidden="1"/>
    </dxf>
    <dxf>
      <font>
        <b val="0"/>
        <i val="0"/>
        <strike val="0"/>
        <condense val="0"/>
        <extend val="0"/>
        <outline val="0"/>
        <shadow val="0"/>
        <u val="none"/>
        <vertAlign val="baseline"/>
        <sz val="9"/>
        <color theme="1"/>
        <name val="Calibri"/>
        <scheme val="minor"/>
      </font>
      <numFmt numFmtId="13" formatCode="0%"/>
      <alignment horizontal="center" vertical="bottom" textRotation="0" wrapText="0" indent="0" justifyLastLine="0" shrinkToFit="0" readingOrder="0"/>
      <border diagonalUp="0" diagonalDown="0">
        <left/>
        <right/>
        <top style="thin">
          <color rgb="FF4F81BD"/>
        </top>
        <bottom style="thin">
          <color rgb="FF4F81BD"/>
        </bottom>
      </border>
      <protection locked="1" hidden="1"/>
    </dxf>
    <dxf>
      <font>
        <b val="0"/>
        <i val="0"/>
        <strike val="0"/>
        <condense val="0"/>
        <extend val="0"/>
        <outline val="0"/>
        <shadow val="0"/>
        <u val="none"/>
        <vertAlign val="baseline"/>
        <sz val="9"/>
        <color theme="1"/>
        <name val="Calibri"/>
        <scheme val="minor"/>
      </font>
      <numFmt numFmtId="13" formatCode="0%"/>
      <alignment horizontal="center" vertical="bottom" textRotation="0" wrapText="0" indent="0" justifyLastLine="0" shrinkToFit="0" readingOrder="0"/>
      <border diagonalUp="0" diagonalDown="0">
        <left/>
        <right/>
        <top style="thin">
          <color rgb="FF4F81BD"/>
        </top>
        <bottom style="thin">
          <color rgb="FF4F81BD"/>
        </bottom>
      </border>
      <protection locked="1" hidden="1"/>
    </dxf>
    <dxf>
      <font>
        <b val="0"/>
        <i val="0"/>
        <strike val="0"/>
        <condense val="0"/>
        <extend val="0"/>
        <outline val="0"/>
        <shadow val="0"/>
        <u val="none"/>
        <vertAlign val="baseline"/>
        <sz val="9"/>
        <color theme="1"/>
        <name val="Calibri"/>
        <scheme val="minor"/>
      </font>
      <numFmt numFmtId="13" formatCode="0%"/>
      <alignment horizontal="left" vertical="bottom" textRotation="0" wrapText="0" indent="0" justifyLastLine="0" shrinkToFit="0" readingOrder="0"/>
      <border diagonalUp="0" diagonalDown="0" outline="0">
        <left/>
        <right/>
        <top style="thin">
          <color theme="4"/>
        </top>
        <bottom/>
      </border>
      <protection locked="1" hidden="1"/>
    </dxf>
    <dxf>
      <border>
        <top style="thin">
          <color rgb="FF4F81BD"/>
        </top>
      </border>
    </dxf>
    <dxf>
      <border diagonalUp="0" diagonalDown="0">
        <left style="thin">
          <color rgb="FF4F81BD"/>
        </left>
        <right style="thin">
          <color rgb="FF4F81BD"/>
        </right>
        <top style="thin">
          <color rgb="FF4F81BD"/>
        </top>
        <bottom style="thin">
          <color rgb="FF4F81BD"/>
        </bottom>
      </border>
    </dxf>
    <dxf>
      <font>
        <b val="0"/>
        <i val="0"/>
        <strike val="0"/>
        <condense val="0"/>
        <extend val="0"/>
        <outline val="0"/>
        <shadow val="0"/>
        <u val="none"/>
        <vertAlign val="baseline"/>
        <sz val="9"/>
        <color theme="1"/>
        <name val="Calibri"/>
        <scheme val="minor"/>
      </font>
      <protection locked="1" hidden="1"/>
    </dxf>
    <dxf>
      <border>
        <bottom style="thin">
          <color rgb="FF4F81BD"/>
        </bottom>
      </border>
    </dxf>
    <dxf>
      <font>
        <b/>
        <i val="0"/>
        <strike val="0"/>
        <condense val="0"/>
        <extend val="0"/>
        <outline val="0"/>
        <shadow val="0"/>
        <u val="none"/>
        <vertAlign val="baseline"/>
        <sz val="9"/>
        <color theme="0"/>
        <name val="Calibri"/>
        <scheme val="minor"/>
      </font>
      <fill>
        <patternFill patternType="solid">
          <fgColor theme="4"/>
          <bgColor theme="4"/>
        </patternFill>
      </fill>
      <alignment horizontal="left" vertical="bottom" textRotation="0" wrapText="1" indent="0" justifyLastLine="0" shrinkToFit="0" readingOrder="0"/>
      <border diagonalUp="0" diagonalDown="0" outline="0">
        <left style="thin">
          <color rgb="FF4F81BD"/>
        </left>
        <right style="thin">
          <color rgb="FF4F81BD"/>
        </right>
        <top/>
        <bottom/>
      </border>
      <protection locked="1" hidden="1"/>
    </dxf>
    <dxf>
      <font>
        <b val="0"/>
        <i val="0"/>
        <strike val="0"/>
        <condense val="0"/>
        <extend val="0"/>
        <outline val="0"/>
        <shadow val="0"/>
        <u val="none"/>
        <vertAlign val="baseline"/>
        <sz val="9"/>
        <color theme="1"/>
        <name val="Calibri"/>
        <scheme val="minor"/>
      </font>
      <numFmt numFmtId="164" formatCode="0.0%"/>
      <fill>
        <patternFill patternType="solid">
          <fgColor indexed="64"/>
          <bgColor theme="0"/>
        </patternFill>
      </fill>
      <alignment horizontal="center" vertical="bottom" textRotation="0" wrapText="0" indent="0" justifyLastLine="0" shrinkToFit="0" readingOrder="0"/>
      <border diagonalUp="0" diagonalDown="0">
        <left/>
        <right/>
        <top style="thin">
          <color theme="4"/>
        </top>
        <bottom/>
        <vertical/>
        <horizontal/>
      </border>
      <protection locked="1" hidden="1"/>
    </dxf>
    <dxf>
      <font>
        <b val="0"/>
        <i val="0"/>
        <strike val="0"/>
        <condense val="0"/>
        <extend val="0"/>
        <outline val="0"/>
        <shadow val="0"/>
        <u val="none"/>
        <vertAlign val="baseline"/>
        <sz val="9"/>
        <color theme="1"/>
        <name val="Calibri"/>
        <scheme val="minor"/>
      </font>
      <numFmt numFmtId="164" formatCode="0.0%"/>
      <fill>
        <patternFill patternType="solid">
          <fgColor indexed="64"/>
          <bgColor theme="0"/>
        </patternFill>
      </fill>
      <alignment horizontal="center" vertical="bottom" textRotation="0" wrapText="0" indent="0" justifyLastLine="0" shrinkToFit="0" readingOrder="0"/>
      <border diagonalUp="0" diagonalDown="0">
        <left/>
        <right/>
        <top style="thin">
          <color theme="4"/>
        </top>
        <bottom/>
        <vertical/>
        <horizontal/>
      </border>
      <protection locked="1" hidden="1"/>
    </dxf>
    <dxf>
      <font>
        <b val="0"/>
        <i val="0"/>
        <strike val="0"/>
        <condense val="0"/>
        <extend val="0"/>
        <outline val="0"/>
        <shadow val="0"/>
        <u val="none"/>
        <vertAlign val="baseline"/>
        <sz val="9"/>
        <color theme="1"/>
        <name val="Calibri"/>
        <scheme val="minor"/>
      </font>
      <numFmt numFmtId="164" formatCode="0.0%"/>
      <fill>
        <patternFill patternType="solid">
          <fgColor indexed="64"/>
          <bgColor theme="0"/>
        </patternFill>
      </fill>
      <alignment horizontal="center" vertical="bottom" textRotation="0" wrapText="0" indent="0" justifyLastLine="0" shrinkToFit="0" readingOrder="0"/>
      <border diagonalUp="0" diagonalDown="0">
        <left/>
        <right/>
        <top style="thin">
          <color theme="4"/>
        </top>
        <bottom/>
        <vertical/>
        <horizontal/>
      </border>
      <protection locked="1" hidden="1"/>
    </dxf>
    <dxf>
      <font>
        <b val="0"/>
        <i val="0"/>
        <strike val="0"/>
        <condense val="0"/>
        <extend val="0"/>
        <outline val="0"/>
        <shadow val="0"/>
        <u val="none"/>
        <vertAlign val="baseline"/>
        <sz val="9"/>
        <color theme="1"/>
        <name val="Calibri"/>
        <scheme val="minor"/>
      </font>
      <numFmt numFmtId="164" formatCode="0.0%"/>
      <fill>
        <patternFill patternType="solid">
          <fgColor indexed="64"/>
          <bgColor theme="0"/>
        </patternFill>
      </fill>
      <alignment horizontal="center" vertical="bottom" textRotation="0" wrapText="0" indent="0" justifyLastLine="0" shrinkToFit="0" readingOrder="0"/>
      <border diagonalUp="0" diagonalDown="0">
        <left/>
        <right/>
        <top style="thin">
          <color theme="4"/>
        </top>
        <bottom/>
        <vertical/>
        <horizontal/>
      </border>
      <protection locked="1" hidden="1"/>
    </dxf>
    <dxf>
      <font>
        <b val="0"/>
        <i val="0"/>
        <strike val="0"/>
        <condense val="0"/>
        <extend val="0"/>
        <outline val="0"/>
        <shadow val="0"/>
        <u val="none"/>
        <vertAlign val="baseline"/>
        <sz val="9"/>
        <color theme="1"/>
        <name val="Calibri"/>
        <scheme val="minor"/>
      </font>
      <numFmt numFmtId="164" formatCode="0.0%"/>
      <fill>
        <patternFill patternType="solid">
          <fgColor indexed="64"/>
          <bgColor theme="0"/>
        </patternFill>
      </fill>
      <alignment horizontal="center" vertical="bottom" textRotation="0" wrapText="0" indent="0" justifyLastLine="0" shrinkToFit="0" readingOrder="0"/>
      <border diagonalUp="0" diagonalDown="0">
        <left/>
        <right/>
        <top style="thin">
          <color theme="4"/>
        </top>
        <bottom/>
      </border>
      <protection locked="1" hidden="1"/>
    </dxf>
    <dxf>
      <font>
        <b val="0"/>
        <i val="0"/>
        <strike val="0"/>
        <condense val="0"/>
        <extend val="0"/>
        <outline val="0"/>
        <shadow val="0"/>
        <u val="none"/>
        <vertAlign val="baseline"/>
        <sz val="9"/>
        <color theme="1"/>
        <name val="Calibri"/>
        <scheme val="minor"/>
      </font>
      <alignment horizontal="left" vertical="bottom" textRotation="0" wrapText="0" indent="0" justifyLastLine="0" shrinkToFit="0" readingOrder="0"/>
      <border diagonalUp="0" diagonalDown="0" outline="0">
        <left/>
        <right/>
        <top style="thin">
          <color theme="4"/>
        </top>
        <bottom/>
      </border>
      <protection locked="1" hidden="1"/>
    </dxf>
    <dxf>
      <border outline="0">
        <top style="thin">
          <color theme="4"/>
        </top>
      </border>
    </dxf>
    <dxf>
      <border outline="0">
        <left style="thin">
          <color theme="4"/>
        </left>
        <top style="thin">
          <color theme="4"/>
        </top>
        <bottom style="thin">
          <color theme="4"/>
        </bottom>
      </border>
    </dxf>
    <dxf>
      <font>
        <b val="0"/>
        <i val="0"/>
        <strike val="0"/>
        <condense val="0"/>
        <extend val="0"/>
        <outline val="0"/>
        <shadow val="0"/>
        <u val="none"/>
        <vertAlign val="baseline"/>
        <sz val="9"/>
        <color theme="1"/>
        <name val="Calibri"/>
        <scheme val="minor"/>
      </font>
      <alignment horizontal="center" vertical="bottom" textRotation="0" wrapText="0" indent="0" justifyLastLine="0" shrinkToFit="0" readingOrder="0"/>
      <protection locked="1" hidden="1"/>
    </dxf>
    <dxf>
      <border outline="0">
        <bottom style="thin">
          <color theme="4"/>
        </bottom>
      </border>
    </dxf>
    <dxf>
      <font>
        <b/>
        <i val="0"/>
        <strike val="0"/>
        <condense val="0"/>
        <extend val="0"/>
        <outline val="0"/>
        <shadow val="0"/>
        <u val="none"/>
        <vertAlign val="baseline"/>
        <sz val="9"/>
        <color theme="0"/>
        <name val="Calibri"/>
        <scheme val="minor"/>
      </font>
      <fill>
        <patternFill patternType="solid">
          <fgColor theme="4"/>
          <bgColor theme="4"/>
        </patternFill>
      </fill>
      <alignment horizontal="center" vertical="bottom" textRotation="0" wrapText="1" indent="0" justifyLastLine="0" shrinkToFit="0" readingOrder="0"/>
      <border diagonalUp="0" diagonalDown="0" outline="0">
        <left style="thin">
          <color theme="4"/>
        </left>
        <right style="thin">
          <color theme="4"/>
        </right>
        <top/>
        <bottom/>
      </border>
      <protection locked="1" hidden="1"/>
    </dxf>
    <dxf>
      <font>
        <b val="0"/>
        <i val="0"/>
        <strike val="0"/>
        <condense val="0"/>
        <extend val="0"/>
        <outline val="0"/>
        <shadow val="0"/>
        <u val="none"/>
        <vertAlign val="baseline"/>
        <sz val="9"/>
        <color theme="1"/>
        <name val="Calibri"/>
        <scheme val="minor"/>
      </font>
      <numFmt numFmtId="164" formatCode="0.0%"/>
      <alignment horizontal="center" vertical="bottom" textRotation="0" wrapText="0" indent="0" justifyLastLine="0" shrinkToFit="0" readingOrder="0"/>
      <protection locked="1" hidden="1"/>
    </dxf>
    <dxf>
      <font>
        <b val="0"/>
        <i val="0"/>
        <strike val="0"/>
        <condense val="0"/>
        <extend val="0"/>
        <outline val="0"/>
        <shadow val="0"/>
        <u val="none"/>
        <vertAlign val="baseline"/>
        <sz val="9"/>
        <color theme="1"/>
        <name val="Calibri"/>
        <scheme val="minor"/>
      </font>
      <numFmt numFmtId="164" formatCode="0.0%"/>
      <alignment horizontal="center" vertical="bottom" textRotation="0" wrapText="0" indent="0" justifyLastLine="0" shrinkToFit="0" readingOrder="0"/>
      <border diagonalUp="0" diagonalDown="0">
        <left/>
        <right/>
        <top style="thin">
          <color theme="4"/>
        </top>
        <bottom/>
      </border>
      <protection locked="1" hidden="1"/>
    </dxf>
    <dxf>
      <font>
        <b val="0"/>
        <i val="0"/>
        <strike val="0"/>
        <condense val="0"/>
        <extend val="0"/>
        <outline val="0"/>
        <shadow val="0"/>
        <u val="none"/>
        <vertAlign val="baseline"/>
        <sz val="9"/>
        <color auto="1"/>
        <name val="Calibri"/>
        <scheme val="minor"/>
      </font>
      <numFmt numFmtId="164" formatCode="0.0%"/>
      <fill>
        <patternFill patternType="solid">
          <fgColor indexed="64"/>
          <bgColor theme="0"/>
        </patternFill>
      </fill>
      <alignment horizontal="center" vertical="bottom" textRotation="0" wrapText="0" indent="0" justifyLastLine="0" shrinkToFit="0" readingOrder="0"/>
      <border diagonalUp="0" diagonalDown="0">
        <left/>
        <right/>
        <top style="thin">
          <color theme="4"/>
        </top>
        <bottom/>
        <vertical/>
        <horizontal/>
      </border>
      <protection locked="1" hidden="1"/>
    </dxf>
    <dxf>
      <font>
        <b val="0"/>
        <i val="0"/>
        <strike val="0"/>
        <condense val="0"/>
        <extend val="0"/>
        <outline val="0"/>
        <shadow val="0"/>
        <u val="none"/>
        <vertAlign val="baseline"/>
        <sz val="9"/>
        <color theme="1"/>
        <name val="Calibri"/>
        <scheme val="minor"/>
      </font>
      <alignment horizontal="left" vertical="bottom" textRotation="0" wrapText="0" indent="0" justifyLastLine="0" shrinkToFit="0" readingOrder="0"/>
      <border diagonalUp="0" diagonalDown="0" outline="0">
        <left/>
        <right/>
        <top style="thin">
          <color theme="4"/>
        </top>
        <bottom/>
      </border>
      <protection locked="1" hidden="1"/>
    </dxf>
    <dxf>
      <font>
        <b val="0"/>
        <i val="0"/>
        <strike val="0"/>
        <condense val="0"/>
        <extend val="0"/>
        <outline val="0"/>
        <shadow val="0"/>
        <u val="none"/>
        <vertAlign val="baseline"/>
        <sz val="9"/>
        <color theme="1"/>
        <name val="Calibri"/>
        <scheme val="minor"/>
      </font>
      <protection locked="1" hidden="1"/>
    </dxf>
    <dxf>
      <border outline="0">
        <bottom style="thin">
          <color rgb="FF4F81BD"/>
        </bottom>
      </border>
    </dxf>
    <dxf>
      <font>
        <b/>
        <i val="0"/>
        <strike val="0"/>
        <condense val="0"/>
        <extend val="0"/>
        <outline val="0"/>
        <shadow val="0"/>
        <u val="none"/>
        <vertAlign val="baseline"/>
        <sz val="9"/>
        <color rgb="FFFFFFFF"/>
        <name val="Calibri"/>
        <scheme val="minor"/>
      </font>
      <fill>
        <patternFill patternType="solid">
          <fgColor indexed="64"/>
          <bgColor rgb="FF4F81BD"/>
        </patternFill>
      </fill>
      <alignment horizontal="general" vertical="center" textRotation="0" wrapText="0" indent="0" justifyLastLine="0" shrinkToFit="0" readingOrder="0"/>
      <protection locked="1" hidden="1"/>
    </dxf>
    <dxf>
      <font>
        <b val="0"/>
        <i val="0"/>
        <strike val="0"/>
        <condense val="0"/>
        <extend val="0"/>
        <outline val="0"/>
        <shadow val="0"/>
        <u val="none"/>
        <vertAlign val="baseline"/>
        <sz val="9"/>
        <color rgb="FF000000"/>
        <name val="Calibri"/>
        <scheme val="minor"/>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right/>
        <top style="thin">
          <color theme="4"/>
        </top>
        <bottom style="thin">
          <color theme="4"/>
        </bottom>
      </border>
      <protection locked="1" hidden="1"/>
    </dxf>
    <dxf>
      <font>
        <b val="0"/>
        <i val="0"/>
        <strike val="0"/>
        <condense val="0"/>
        <extend val="0"/>
        <outline val="0"/>
        <shadow val="0"/>
        <u val="none"/>
        <vertAlign val="baseline"/>
        <sz val="9"/>
        <color rgb="FF000000"/>
        <name val="Calibri"/>
        <scheme val="minor"/>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right/>
        <top style="thin">
          <color theme="4"/>
        </top>
        <bottom style="thin">
          <color theme="4"/>
        </bottom>
      </border>
      <protection locked="1" hidden="1"/>
    </dxf>
    <dxf>
      <font>
        <b val="0"/>
        <i val="0"/>
        <strike val="0"/>
        <condense val="0"/>
        <extend val="0"/>
        <outline val="0"/>
        <shadow val="0"/>
        <u val="none"/>
        <vertAlign val="baseline"/>
        <sz val="9"/>
        <color rgb="FF000000"/>
        <name val="Calibri"/>
        <scheme val="minor"/>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right/>
        <top style="thin">
          <color theme="4"/>
        </top>
        <bottom style="thin">
          <color theme="4"/>
        </bottom>
      </border>
      <protection locked="1" hidden="1"/>
    </dxf>
    <dxf>
      <font>
        <b val="0"/>
        <i val="0"/>
        <strike val="0"/>
        <condense val="0"/>
        <extend val="0"/>
        <outline val="0"/>
        <shadow val="0"/>
        <u val="none"/>
        <vertAlign val="baseline"/>
        <sz val="9"/>
        <color rgb="FF000000"/>
        <name val="Calibri"/>
        <scheme val="minor"/>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right/>
        <top style="thin">
          <color theme="4"/>
        </top>
        <bottom style="thin">
          <color theme="4"/>
        </bottom>
      </border>
      <protection locked="1" hidden="1"/>
    </dxf>
    <dxf>
      <font>
        <b val="0"/>
        <i val="0"/>
        <strike val="0"/>
        <condense val="0"/>
        <extend val="0"/>
        <outline val="0"/>
        <shadow val="0"/>
        <u val="none"/>
        <vertAlign val="baseline"/>
        <sz val="9"/>
        <color rgb="FF000000"/>
        <name val="Calibri"/>
        <scheme val="minor"/>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right/>
        <top style="thin">
          <color theme="4"/>
        </top>
        <bottom style="thin">
          <color theme="4"/>
        </bottom>
      </border>
      <protection locked="1" hidden="1"/>
    </dxf>
    <dxf>
      <font>
        <b val="0"/>
        <i val="0"/>
        <strike val="0"/>
        <condense val="0"/>
        <extend val="0"/>
        <outline val="0"/>
        <shadow val="0"/>
        <u val="none"/>
        <vertAlign val="baseline"/>
        <sz val="9"/>
        <color rgb="FF000000"/>
        <name val="Calibri"/>
        <scheme val="minor"/>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right/>
        <top style="thin">
          <color theme="4"/>
        </top>
        <bottom style="thin">
          <color theme="4"/>
        </bottom>
      </border>
      <protection locked="1" hidden="1"/>
    </dxf>
    <dxf>
      <font>
        <b val="0"/>
        <i val="0"/>
        <strike val="0"/>
        <condense val="0"/>
        <extend val="0"/>
        <outline val="0"/>
        <shadow val="0"/>
        <u val="none"/>
        <vertAlign val="baseline"/>
        <sz val="9"/>
        <color theme="1"/>
        <name val="Calibri"/>
        <scheme val="minor"/>
      </font>
      <alignment horizontal="left" vertical="bottom" textRotation="0" wrapText="0" indent="0" justifyLastLine="0" shrinkToFit="0" readingOrder="0"/>
      <border diagonalUp="0" diagonalDown="0" outline="0">
        <left/>
        <right/>
        <top style="thin">
          <color theme="4"/>
        </top>
        <bottom style="thin">
          <color theme="4"/>
        </bottom>
      </border>
      <protection locked="1" hidden="1"/>
    </dxf>
    <dxf>
      <border>
        <top style="thin">
          <color theme="4"/>
        </top>
      </border>
    </dxf>
    <dxf>
      <border diagonalUp="0" diagonalDown="0">
        <left style="thin">
          <color theme="4"/>
        </left>
        <right style="thin">
          <color theme="4"/>
        </right>
        <top style="thin">
          <color theme="4"/>
        </top>
        <bottom style="thin">
          <color theme="4"/>
        </bottom>
      </border>
    </dxf>
    <dxf>
      <font>
        <b val="0"/>
        <i val="0"/>
        <strike val="0"/>
        <condense val="0"/>
        <extend val="0"/>
        <outline val="0"/>
        <shadow val="0"/>
        <u val="none"/>
        <vertAlign val="baseline"/>
        <sz val="9"/>
        <color rgb="FF000000"/>
        <name val="Calibri"/>
        <scheme val="minor"/>
      </font>
      <fill>
        <patternFill patternType="solid">
          <fgColor indexed="64"/>
          <bgColor rgb="FFFCFCFF"/>
        </patternFill>
      </fill>
      <alignment horizontal="center" vertical="center" textRotation="0" wrapText="0" indent="0" justifyLastLine="0" shrinkToFit="0" readingOrder="0"/>
      <protection locked="1" hidden="1"/>
    </dxf>
    <dxf>
      <border>
        <bottom style="thin">
          <color theme="4"/>
        </bottom>
      </border>
    </dxf>
    <dxf>
      <font>
        <b/>
        <i val="0"/>
        <strike val="0"/>
        <condense val="0"/>
        <extend val="0"/>
        <outline val="0"/>
        <shadow val="0"/>
        <u val="none"/>
        <vertAlign val="baseline"/>
        <sz val="9"/>
        <color rgb="FFFFFFFF"/>
        <name val="Calibri"/>
        <scheme val="minor"/>
      </font>
      <fill>
        <patternFill patternType="solid">
          <fgColor indexed="64"/>
          <bgColor rgb="FF4F81BD"/>
        </patternFill>
      </fill>
      <alignment horizontal="general" vertical="center" textRotation="0" wrapText="1" indent="0" justifyLastLine="0" shrinkToFit="0" readingOrder="0"/>
      <border diagonalUp="0" diagonalDown="0" outline="0">
        <left style="medium">
          <color rgb="FF4F81BD"/>
        </left>
        <right style="medium">
          <color rgb="FF4F81BD"/>
        </right>
        <top/>
        <bottom/>
      </border>
      <protection locked="1" hidden="1"/>
    </dxf>
    <dxf>
      <font>
        <b val="0"/>
        <i val="0"/>
        <strike val="0"/>
        <condense val="0"/>
        <extend val="0"/>
        <outline val="0"/>
        <shadow val="0"/>
        <u val="none"/>
        <vertAlign val="baseline"/>
        <sz val="9"/>
        <color rgb="FF000000"/>
        <name val="Calibri"/>
        <scheme val="minor"/>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right/>
        <top style="thin">
          <color theme="4"/>
        </top>
        <bottom style="thin">
          <color theme="4"/>
        </bottom>
      </border>
      <protection locked="1" hidden="1"/>
    </dxf>
    <dxf>
      <font>
        <b val="0"/>
        <i val="0"/>
        <strike val="0"/>
        <condense val="0"/>
        <extend val="0"/>
        <outline val="0"/>
        <shadow val="0"/>
        <u val="none"/>
        <vertAlign val="baseline"/>
        <sz val="9"/>
        <color rgb="FF000000"/>
        <name val="Calibri"/>
        <scheme val="minor"/>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right/>
        <top style="thin">
          <color theme="4"/>
        </top>
        <bottom style="thin">
          <color theme="4"/>
        </bottom>
      </border>
      <protection locked="1" hidden="1"/>
    </dxf>
    <dxf>
      <font>
        <b val="0"/>
        <i val="0"/>
        <strike val="0"/>
        <condense val="0"/>
        <extend val="0"/>
        <outline val="0"/>
        <shadow val="0"/>
        <u val="none"/>
        <vertAlign val="baseline"/>
        <sz val="9"/>
        <color rgb="FF000000"/>
        <name val="Calibri"/>
        <scheme val="minor"/>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right/>
        <top style="thin">
          <color theme="4"/>
        </top>
        <bottom style="thin">
          <color theme="4"/>
        </bottom>
      </border>
      <protection locked="1" hidden="1"/>
    </dxf>
    <dxf>
      <font>
        <b val="0"/>
        <i val="0"/>
        <strike val="0"/>
        <condense val="0"/>
        <extend val="0"/>
        <outline val="0"/>
        <shadow val="0"/>
        <u val="none"/>
        <vertAlign val="baseline"/>
        <sz val="9"/>
        <color rgb="FF000000"/>
        <name val="Calibri"/>
        <scheme val="minor"/>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right/>
        <top style="thin">
          <color theme="4"/>
        </top>
        <bottom style="thin">
          <color theme="4"/>
        </bottom>
      </border>
      <protection locked="1" hidden="1"/>
    </dxf>
    <dxf>
      <font>
        <b val="0"/>
        <i val="0"/>
        <strike val="0"/>
        <condense val="0"/>
        <extend val="0"/>
        <outline val="0"/>
        <shadow val="0"/>
        <u val="none"/>
        <vertAlign val="baseline"/>
        <sz val="9"/>
        <color rgb="FF000000"/>
        <name val="Calibri"/>
        <scheme val="minor"/>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right/>
        <top style="thin">
          <color theme="4"/>
        </top>
        <bottom style="thin">
          <color theme="4"/>
        </bottom>
      </border>
      <protection locked="1" hidden="1"/>
    </dxf>
    <dxf>
      <font>
        <b val="0"/>
        <i val="0"/>
        <strike val="0"/>
        <condense val="0"/>
        <extend val="0"/>
        <outline val="0"/>
        <shadow val="0"/>
        <u val="none"/>
        <vertAlign val="baseline"/>
        <sz val="9"/>
        <color rgb="FF000000"/>
        <name val="Calibri"/>
        <scheme val="minor"/>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right/>
        <top style="thin">
          <color theme="4"/>
        </top>
        <bottom style="thin">
          <color theme="4"/>
        </bottom>
      </border>
      <protection locked="1" hidden="1"/>
    </dxf>
    <dxf>
      <font>
        <b val="0"/>
        <i val="0"/>
        <strike val="0"/>
        <condense val="0"/>
        <extend val="0"/>
        <outline val="0"/>
        <shadow val="0"/>
        <u val="none"/>
        <vertAlign val="baseline"/>
        <sz val="9"/>
        <color rgb="FF000000"/>
        <name val="Calibri"/>
        <scheme val="minor"/>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right/>
        <top style="thin">
          <color theme="4"/>
        </top>
        <bottom style="thin">
          <color theme="4"/>
        </bottom>
      </border>
      <protection locked="1" hidden="1"/>
    </dxf>
    <dxf>
      <font>
        <b val="0"/>
        <i val="0"/>
        <strike val="0"/>
        <condense val="0"/>
        <extend val="0"/>
        <outline val="0"/>
        <shadow val="0"/>
        <u val="none"/>
        <vertAlign val="baseline"/>
        <sz val="9"/>
        <color theme="1"/>
        <name val="Calibri"/>
        <scheme val="minor"/>
      </font>
      <alignment horizontal="left" vertical="bottom" textRotation="0" wrapText="0" indent="0" justifyLastLine="0" shrinkToFit="0" readingOrder="0"/>
      <border diagonalUp="0" diagonalDown="0" outline="0">
        <left/>
        <right/>
        <top style="thin">
          <color theme="4"/>
        </top>
        <bottom style="thin">
          <color theme="4"/>
        </bottom>
      </border>
      <protection locked="1" hidden="1"/>
    </dxf>
    <dxf>
      <border>
        <top style="thin">
          <color theme="4"/>
        </top>
      </border>
    </dxf>
    <dxf>
      <border diagonalUp="0" diagonalDown="0">
        <left style="thin">
          <color theme="4"/>
        </left>
        <right style="thin">
          <color theme="4"/>
        </right>
        <top style="thin">
          <color theme="4"/>
        </top>
        <bottom style="thin">
          <color theme="4"/>
        </bottom>
      </border>
    </dxf>
    <dxf>
      <font>
        <b val="0"/>
        <i val="0"/>
        <strike val="0"/>
        <condense val="0"/>
        <extend val="0"/>
        <outline val="0"/>
        <shadow val="0"/>
        <u val="none"/>
        <vertAlign val="baseline"/>
        <sz val="9"/>
        <color rgb="FF000000"/>
        <name val="Calibri"/>
        <scheme val="minor"/>
      </font>
      <fill>
        <patternFill patternType="solid">
          <fgColor indexed="64"/>
          <bgColor rgb="FFFCFCFF"/>
        </patternFill>
      </fill>
      <alignment horizontal="center" vertical="center" textRotation="0" wrapText="0" indent="0" justifyLastLine="0" shrinkToFit="0" readingOrder="0"/>
      <protection locked="1" hidden="1"/>
    </dxf>
    <dxf>
      <border>
        <bottom style="thin">
          <color theme="4"/>
        </bottom>
      </border>
    </dxf>
    <dxf>
      <font>
        <b/>
        <i val="0"/>
        <strike val="0"/>
        <condense val="0"/>
        <extend val="0"/>
        <outline val="0"/>
        <shadow val="0"/>
        <u val="none"/>
        <vertAlign val="baseline"/>
        <sz val="9"/>
        <color rgb="FFFFFFFF"/>
        <name val="Calibri"/>
        <scheme val="minor"/>
      </font>
      <fill>
        <patternFill patternType="solid">
          <fgColor indexed="64"/>
          <bgColor rgb="FF4F81BD"/>
        </patternFill>
      </fill>
      <alignment horizontal="center" vertical="center" textRotation="0" wrapText="1" indent="0" justifyLastLine="0" shrinkToFit="0" readingOrder="0"/>
      <border diagonalUp="0" diagonalDown="0" outline="0">
        <left style="thin">
          <color rgb="FF4F81BD"/>
        </left>
        <right style="thin">
          <color rgb="FF4F81BD"/>
        </right>
        <top/>
        <bottom/>
      </border>
      <protection locked="1" hidden="1"/>
    </dxf>
    <dxf>
      <font>
        <b val="0"/>
        <i val="0"/>
        <strike val="0"/>
        <condense val="0"/>
        <extend val="0"/>
        <outline val="0"/>
        <shadow val="0"/>
        <u val="none"/>
        <vertAlign val="baseline"/>
        <sz val="9"/>
        <color auto="1"/>
        <name val="Calibri"/>
        <scheme val="minor"/>
      </font>
      <numFmt numFmtId="164" formatCode="0.0%"/>
      <fill>
        <patternFill patternType="solid">
          <fgColor indexed="64"/>
          <bgColor theme="0"/>
        </patternFill>
      </fill>
      <alignment horizontal="center" vertical="bottom" textRotation="0" wrapText="0" indent="0" justifyLastLine="0" shrinkToFit="0" readingOrder="0"/>
      <border diagonalUp="0" diagonalDown="0" outline="0">
        <left/>
        <right/>
        <top style="thin">
          <color theme="3"/>
        </top>
        <bottom style="thin">
          <color theme="3"/>
        </bottom>
      </border>
      <protection locked="1" hidden="1"/>
    </dxf>
    <dxf>
      <font>
        <b val="0"/>
        <i val="0"/>
        <strike val="0"/>
        <condense val="0"/>
        <extend val="0"/>
        <outline val="0"/>
        <shadow val="0"/>
        <u val="none"/>
        <vertAlign val="baseline"/>
        <sz val="9"/>
        <color auto="1"/>
        <name val="Calibri"/>
        <scheme val="minor"/>
      </font>
      <numFmt numFmtId="13" formatCode="0%"/>
      <fill>
        <patternFill patternType="solid">
          <fgColor indexed="64"/>
          <bgColor theme="0"/>
        </patternFill>
      </fill>
      <alignment horizontal="center" vertical="center" textRotation="0" wrapText="0" indent="0" justifyLastLine="0" shrinkToFit="0" readingOrder="0"/>
      <border diagonalUp="0" diagonalDown="0" outline="0">
        <left/>
        <right/>
        <top style="thin">
          <color theme="3"/>
        </top>
        <bottom style="thin">
          <color theme="3"/>
        </bottom>
      </border>
      <protection locked="1" hidden="1"/>
    </dxf>
    <dxf>
      <font>
        <b val="0"/>
        <i val="0"/>
        <strike val="0"/>
        <condense val="0"/>
        <extend val="0"/>
        <outline val="0"/>
        <shadow val="0"/>
        <u val="none"/>
        <vertAlign val="baseline"/>
        <sz val="9"/>
        <color auto="1"/>
        <name val="Calibri"/>
        <scheme val="minor"/>
      </font>
      <numFmt numFmtId="164" formatCode="0.0%"/>
      <fill>
        <patternFill patternType="solid">
          <fgColor indexed="64"/>
          <bgColor theme="0"/>
        </patternFill>
      </fill>
      <alignment horizontal="center" vertical="bottom" textRotation="0" wrapText="0" indent="0" justifyLastLine="0" shrinkToFit="0" readingOrder="0"/>
      <border diagonalUp="0" diagonalDown="0" outline="0">
        <left/>
        <right/>
        <top style="thin">
          <color theme="3"/>
        </top>
        <bottom style="thin">
          <color theme="3"/>
        </bottom>
      </border>
      <protection locked="1" hidden="1"/>
    </dxf>
    <dxf>
      <font>
        <b val="0"/>
        <i val="0"/>
        <strike val="0"/>
        <condense val="0"/>
        <extend val="0"/>
        <outline val="0"/>
        <shadow val="0"/>
        <u val="none"/>
        <vertAlign val="baseline"/>
        <sz val="9"/>
        <color theme="1"/>
        <name val="Calibri"/>
        <scheme val="minor"/>
      </font>
      <alignment horizontal="left" vertical="bottom" textRotation="0" wrapText="0" indent="0" justifyLastLine="0" shrinkToFit="0" readingOrder="0"/>
      <border diagonalUp="0" diagonalDown="0" outline="0">
        <left/>
        <right/>
        <top style="thin">
          <color theme="4"/>
        </top>
        <bottom/>
      </border>
      <protection locked="1" hidden="1"/>
    </dxf>
    <dxf>
      <border>
        <top style="thin">
          <color theme="3"/>
        </top>
      </border>
    </dxf>
    <dxf>
      <border diagonalUp="0" diagonalDown="0">
        <left/>
        <right/>
        <top/>
        <bottom/>
      </border>
    </dxf>
    <dxf>
      <font>
        <strike val="0"/>
        <outline val="0"/>
        <shadow val="0"/>
        <u val="none"/>
        <vertAlign val="baseline"/>
        <sz val="9"/>
        <name val="Calibri"/>
        <scheme val="minor"/>
      </font>
      <protection locked="1" hidden="1"/>
    </dxf>
    <dxf>
      <border>
        <bottom style="thin">
          <color theme="3"/>
        </bottom>
      </border>
    </dxf>
    <dxf>
      <font>
        <b/>
        <i val="0"/>
        <strike val="0"/>
        <condense val="0"/>
        <extend val="0"/>
        <outline val="0"/>
        <shadow val="0"/>
        <u val="none"/>
        <vertAlign val="baseline"/>
        <sz val="9"/>
        <color rgb="FFFFFFFF"/>
        <name val="Calibri"/>
        <scheme val="minor"/>
      </font>
      <fill>
        <patternFill patternType="solid">
          <fgColor indexed="64"/>
          <bgColor rgb="FF4F81BD"/>
        </patternFill>
      </fill>
      <alignment horizontal="center" vertical="center" textRotation="0" wrapText="0" indent="0" justifyLastLine="0" shrinkToFit="0" readingOrder="0"/>
      <border diagonalUp="0" diagonalDown="0" outline="0">
        <left style="thin">
          <color rgb="FF4F81BD"/>
        </left>
        <right style="thin">
          <color rgb="FF4F81BD"/>
        </right>
        <top/>
        <bottom/>
      </border>
      <protection locked="1" hidden="1"/>
    </dxf>
    <dxf>
      <font>
        <strike val="0"/>
        <outline val="0"/>
        <shadow val="0"/>
        <u val="none"/>
        <vertAlign val="baseline"/>
        <sz val="9"/>
        <color auto="1"/>
        <name val="Calibri"/>
        <scheme val="minor"/>
      </font>
      <numFmt numFmtId="164" formatCode="0.0%"/>
      <fill>
        <patternFill patternType="none">
          <fgColor indexed="64"/>
          <bgColor indexed="65"/>
        </patternFill>
      </fill>
      <alignment horizontal="center" vertical="bottom" textRotation="0" wrapText="0" indent="0" justifyLastLine="0" shrinkToFit="0" readingOrder="0"/>
      <protection locked="1" hidden="1"/>
    </dxf>
    <dxf>
      <font>
        <strike val="0"/>
        <outline val="0"/>
        <shadow val="0"/>
        <u val="none"/>
        <vertAlign val="baseline"/>
        <sz val="9"/>
        <color auto="1"/>
        <name val="Calibri"/>
        <scheme val="minor"/>
      </font>
      <numFmt numFmtId="164" formatCode="0.0%"/>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
        <color theme="1"/>
        <name val="Calibri"/>
        <scheme val="minor"/>
      </font>
      <numFmt numFmtId="164" formatCode="0.0%"/>
      <fill>
        <patternFill patternType="none">
          <fgColor indexed="64"/>
          <bgColor indexed="65"/>
        </patternFill>
      </fill>
      <alignment horizontal="center" vertical="bottom" textRotation="0" wrapText="0" indent="0" justifyLastLine="0" shrinkToFit="0" readingOrder="0"/>
      <protection locked="1" hidden="1"/>
    </dxf>
    <dxf>
      <font>
        <strike val="0"/>
        <outline val="0"/>
        <shadow val="0"/>
        <u val="none"/>
        <vertAlign val="baseline"/>
        <sz val="9"/>
        <color auto="1"/>
        <name val="Calibri"/>
        <scheme val="minor"/>
      </font>
      <numFmt numFmtId="164" formatCode="0.0%"/>
      <fill>
        <patternFill patternType="none">
          <fgColor indexed="64"/>
          <bgColor indexed="65"/>
        </patternFill>
      </fill>
      <alignment horizontal="center" vertical="bottom" textRotation="0" wrapText="0" indent="0" justifyLastLine="0" shrinkToFit="0" readingOrder="0"/>
      <protection locked="1" hidden="1"/>
    </dxf>
    <dxf>
      <font>
        <strike val="0"/>
        <outline val="0"/>
        <shadow val="0"/>
        <u val="none"/>
        <vertAlign val="baseline"/>
        <sz val="9"/>
        <color auto="1"/>
        <name val="Calibri"/>
        <scheme val="minor"/>
      </font>
      <numFmt numFmtId="164" formatCode="0.0%"/>
      <fill>
        <patternFill patternType="none">
          <fgColor indexed="64"/>
          <bgColor indexed="65"/>
        </patternFill>
      </fill>
      <alignment horizontal="center" vertical="bottom" textRotation="0" wrapText="0" indent="0" justifyLastLine="0" shrinkToFit="0" readingOrder="0"/>
      <protection locked="1" hidden="1"/>
    </dxf>
    <dxf>
      <font>
        <strike val="0"/>
        <outline val="0"/>
        <shadow val="0"/>
        <u val="none"/>
        <vertAlign val="baseline"/>
        <sz val="9"/>
        <color auto="1"/>
        <name val="Calibri"/>
        <scheme val="minor"/>
      </font>
      <numFmt numFmtId="164" formatCode="0.0%"/>
      <fill>
        <patternFill patternType="none">
          <fgColor indexed="64"/>
          <bgColor indexed="65"/>
        </patternFill>
      </fill>
      <alignment horizontal="center" vertical="bottom" textRotation="0" wrapText="0" indent="0" justifyLastLine="0" shrinkToFit="0" readingOrder="0"/>
      <protection locked="1" hidden="1"/>
    </dxf>
    <dxf>
      <font>
        <strike val="0"/>
        <outline val="0"/>
        <shadow val="0"/>
        <u val="none"/>
        <vertAlign val="baseline"/>
        <sz val="9"/>
        <color auto="1"/>
        <name val="Calibri"/>
        <scheme val="minor"/>
      </font>
      <numFmt numFmtId="164" formatCode="0.0%"/>
      <fill>
        <patternFill patternType="none">
          <fgColor indexed="64"/>
          <bgColor indexed="65"/>
        </patternFill>
      </fill>
      <alignment horizontal="center" vertical="bottom" textRotation="0" wrapText="0" indent="0" justifyLastLine="0" shrinkToFit="0" readingOrder="0"/>
      <protection locked="1" hidden="1"/>
    </dxf>
    <dxf>
      <font>
        <strike val="0"/>
        <outline val="0"/>
        <shadow val="0"/>
        <u val="none"/>
        <vertAlign val="baseline"/>
        <sz val="9"/>
        <color auto="1"/>
        <name val="Calibri"/>
        <scheme val="minor"/>
      </font>
      <numFmt numFmtId="164" formatCode="0.0%"/>
      <fill>
        <patternFill patternType="none">
          <fgColor indexed="64"/>
          <bgColor indexed="65"/>
        </patternFill>
      </fill>
      <alignment horizontal="center" vertical="bottom" textRotation="0" wrapText="0" indent="0" justifyLastLine="0" shrinkToFit="0" readingOrder="0"/>
      <protection locked="1" hidden="1"/>
    </dxf>
    <dxf>
      <font>
        <strike val="0"/>
        <outline val="0"/>
        <shadow val="0"/>
        <u val="none"/>
        <vertAlign val="baseline"/>
        <sz val="9"/>
        <color auto="1"/>
        <name val="Calibri"/>
        <scheme val="minor"/>
      </font>
      <numFmt numFmtId="164" formatCode="0.0%"/>
      <fill>
        <patternFill patternType="none">
          <fgColor indexed="64"/>
          <bgColor indexed="65"/>
        </patternFill>
      </fill>
      <alignment horizontal="center" vertical="bottom" textRotation="0" wrapText="0" indent="0" justifyLastLine="0" shrinkToFit="0" readingOrder="0"/>
      <protection locked="1" hidden="1"/>
    </dxf>
    <dxf>
      <font>
        <strike val="0"/>
        <outline val="0"/>
        <shadow val="0"/>
        <u val="none"/>
        <vertAlign val="baseline"/>
        <sz val="9"/>
        <color auto="1"/>
        <name val="Calibri"/>
        <scheme val="minor"/>
      </font>
      <numFmt numFmtId="164" formatCode="0.0%"/>
      <fill>
        <patternFill patternType="none">
          <fgColor indexed="64"/>
          <bgColor indexed="65"/>
        </patternFill>
      </fill>
      <alignment horizontal="center" vertical="bottom" textRotation="0" wrapText="0" indent="0" justifyLastLine="0" shrinkToFit="0" readingOrder="0"/>
      <protection locked="1" hidden="1"/>
    </dxf>
    <dxf>
      <font>
        <strike val="0"/>
        <outline val="0"/>
        <shadow val="0"/>
        <u val="none"/>
        <vertAlign val="baseline"/>
        <sz val="9"/>
        <color auto="1"/>
        <name val="Calibri"/>
        <scheme val="minor"/>
      </font>
      <numFmt numFmtId="164" formatCode="0.0%"/>
      <fill>
        <patternFill patternType="none">
          <fgColor indexed="64"/>
          <bgColor indexed="65"/>
        </patternFill>
      </fill>
      <alignment horizontal="center" vertical="bottom" textRotation="0" wrapText="0" indent="0" justifyLastLine="0" shrinkToFit="0" readingOrder="0"/>
      <protection locked="1" hidden="1"/>
    </dxf>
    <dxf>
      <font>
        <strike val="0"/>
        <outline val="0"/>
        <shadow val="0"/>
        <u val="none"/>
        <vertAlign val="baseline"/>
        <sz val="9"/>
        <color auto="1"/>
        <name val="Calibri"/>
        <scheme val="minor"/>
      </font>
      <numFmt numFmtId="164" formatCode="0.0%"/>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
        <color theme="1"/>
        <name val="Calibri"/>
        <scheme val="minor"/>
      </font>
      <numFmt numFmtId="0" formatCode="General"/>
      <fill>
        <patternFill patternType="none">
          <fgColor indexed="64"/>
          <bgColor rgb="FFFFFF00"/>
        </patternFill>
      </fill>
      <alignment horizontal="left" vertical="bottom" textRotation="0" wrapText="0" indent="0" justifyLastLine="0" shrinkToFit="0" readingOrder="0"/>
      <border diagonalUp="0" diagonalDown="0" outline="0">
        <left/>
        <right/>
        <top style="thin">
          <color theme="4"/>
        </top>
        <bottom/>
      </border>
      <protection locked="1" hidden="1"/>
    </dxf>
    <dxf>
      <border outline="0">
        <left style="thin">
          <color theme="4"/>
        </left>
      </border>
    </dxf>
    <dxf>
      <font>
        <strike val="0"/>
        <outline val="0"/>
        <shadow val="0"/>
        <u val="none"/>
        <vertAlign val="baseline"/>
        <sz val="9"/>
        <color auto="1"/>
        <name val="Calibri"/>
        <scheme val="minor"/>
      </font>
      <fill>
        <patternFill patternType="none">
          <fgColor indexed="64"/>
          <bgColor rgb="FFFFFF00"/>
        </patternFill>
      </fill>
      <protection locked="1" hidden="1"/>
    </dxf>
    <dxf>
      <font>
        <b/>
        <i val="0"/>
        <strike val="0"/>
        <condense val="0"/>
        <extend val="0"/>
        <outline val="0"/>
        <shadow val="0"/>
        <u val="none"/>
        <vertAlign val="baseline"/>
        <sz val="9"/>
        <color theme="0"/>
        <name val="Calibri"/>
        <scheme val="minor"/>
      </font>
      <fill>
        <patternFill patternType="solid">
          <fgColor theme="4"/>
          <bgColor theme="4"/>
        </patternFill>
      </fill>
      <alignment horizontal="left" vertical="bottom" textRotation="0" wrapText="1" indent="0" justifyLastLine="0" shrinkToFit="0" readingOrder="0"/>
      <protection locked="1" hidden="1"/>
    </dxf>
    <dxf>
      <font>
        <strike val="0"/>
        <outline val="0"/>
        <shadow val="0"/>
        <u val="none"/>
        <vertAlign val="baseline"/>
        <sz val="9"/>
        <name val="Calibri"/>
        <scheme val="minor"/>
      </font>
      <numFmt numFmtId="164" formatCode="0.0%"/>
      <alignment horizontal="center" vertical="bottom" textRotation="0" wrapText="0" indent="0" justifyLastLine="0" shrinkToFit="0"/>
      <protection locked="1" hidden="1"/>
    </dxf>
    <dxf>
      <font>
        <strike val="0"/>
        <outline val="0"/>
        <shadow val="0"/>
        <u val="none"/>
        <vertAlign val="baseline"/>
        <sz val="9"/>
        <name val="Calibri"/>
        <scheme val="minor"/>
      </font>
      <numFmt numFmtId="164" formatCode="0.0%"/>
      <alignment horizontal="center" vertical="bottom" textRotation="0" wrapText="0" indent="0" justifyLastLine="0" shrinkToFit="0"/>
      <protection locked="1" hidden="1"/>
    </dxf>
    <dxf>
      <font>
        <strike val="0"/>
        <outline val="0"/>
        <shadow val="0"/>
        <u val="none"/>
        <vertAlign val="baseline"/>
        <sz val="9"/>
        <name val="Calibri"/>
        <scheme val="minor"/>
      </font>
      <numFmt numFmtId="164" formatCode="0.0%"/>
      <alignment horizontal="center" vertical="bottom" textRotation="0" wrapText="0" indent="0" justifyLastLine="0" shrinkToFit="0"/>
      <protection locked="1" hidden="1"/>
    </dxf>
    <dxf>
      <font>
        <b val="0"/>
        <i val="0"/>
        <strike val="0"/>
        <condense val="0"/>
        <extend val="0"/>
        <outline val="0"/>
        <shadow val="0"/>
        <u val="none"/>
        <vertAlign val="baseline"/>
        <sz val="9"/>
        <color theme="1"/>
        <name val="Calibri"/>
        <scheme val="minor"/>
      </font>
      <alignment horizontal="left" vertical="bottom" textRotation="0" wrapText="0" indent="0" justifyLastLine="0" shrinkToFit="0" readingOrder="0"/>
      <border diagonalUp="0" diagonalDown="0" outline="0">
        <left/>
        <right/>
        <top style="thin">
          <color theme="4"/>
        </top>
        <bottom/>
      </border>
      <protection locked="1" hidden="1"/>
    </dxf>
    <dxf>
      <border outline="0">
        <left style="thin">
          <color theme="4"/>
        </left>
        <top style="thin">
          <color theme="4"/>
        </top>
      </border>
    </dxf>
    <dxf>
      <font>
        <strike val="0"/>
        <outline val="0"/>
        <shadow val="0"/>
        <u val="none"/>
        <vertAlign val="baseline"/>
        <sz val="9"/>
        <name val="Calibri"/>
        <scheme val="minor"/>
      </font>
      <protection locked="1" hidden="1"/>
    </dxf>
    <dxf>
      <font>
        <b/>
        <i val="0"/>
        <strike val="0"/>
        <condense val="0"/>
        <extend val="0"/>
        <outline val="0"/>
        <shadow val="0"/>
        <u val="none"/>
        <vertAlign val="baseline"/>
        <sz val="9"/>
        <color theme="0"/>
        <name val="Calibri"/>
        <scheme val="minor"/>
      </font>
      <fill>
        <patternFill patternType="solid">
          <fgColor theme="4"/>
          <bgColor theme="4"/>
        </patternFill>
      </fill>
      <alignment horizontal="left" vertical="bottom" textRotation="0" wrapText="1" indent="0" justifyLastLine="0" shrinkToFit="0" readingOrder="0"/>
      <protection locked="1" hidden="1"/>
    </dxf>
    <dxf>
      <font>
        <strike val="0"/>
        <outline val="0"/>
        <shadow val="0"/>
        <u val="none"/>
        <vertAlign val="baseline"/>
        <sz val="9"/>
        <name val="Calibri"/>
        <scheme val="minor"/>
      </font>
      <numFmt numFmtId="164" formatCode="0.0%"/>
      <fill>
        <patternFill patternType="none">
          <fgColor indexed="64"/>
          <bgColor indexed="65"/>
        </patternFill>
      </fill>
      <alignment horizontal="center" vertical="bottom" textRotation="0" wrapText="0" indent="0" justifyLastLine="0" shrinkToFit="0" readingOrder="0"/>
      <protection locked="1" hidden="1"/>
    </dxf>
    <dxf>
      <font>
        <strike val="0"/>
        <outline val="0"/>
        <shadow val="0"/>
        <u val="none"/>
        <vertAlign val="baseline"/>
        <sz val="9"/>
        <name val="Calibri"/>
        <scheme val="minor"/>
      </font>
      <numFmt numFmtId="164" formatCode="0.0%"/>
      <fill>
        <patternFill patternType="none">
          <fgColor indexed="64"/>
          <bgColor indexed="65"/>
        </patternFill>
      </fill>
      <alignment horizontal="center" vertical="bottom" textRotation="0" wrapText="0" indent="0" justifyLastLine="0" shrinkToFit="0" readingOrder="0"/>
      <protection locked="1" hidden="1"/>
    </dxf>
    <dxf>
      <font>
        <strike val="0"/>
        <outline val="0"/>
        <shadow val="0"/>
        <u val="none"/>
        <vertAlign val="baseline"/>
        <sz val="9"/>
        <name val="Calibri"/>
        <scheme val="minor"/>
      </font>
      <numFmt numFmtId="164" formatCode="0.0%"/>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
        <color theme="1"/>
        <name val="Calibri"/>
        <scheme val="minor"/>
      </font>
      <alignment horizontal="left" vertical="bottom" textRotation="0" wrapText="0" indent="0" justifyLastLine="0" shrinkToFit="0" readingOrder="0"/>
      <border diagonalUp="0" diagonalDown="0" outline="0">
        <left/>
        <right/>
        <top style="thin">
          <color theme="4"/>
        </top>
        <bottom/>
      </border>
      <protection locked="1" hidden="1"/>
    </dxf>
    <dxf>
      <font>
        <strike val="0"/>
        <outline val="0"/>
        <shadow val="0"/>
        <u val="none"/>
        <vertAlign val="baseline"/>
        <sz val="9"/>
        <name val="Calibri"/>
        <scheme val="minor"/>
      </font>
      <protection locked="1" hidden="1"/>
    </dxf>
    <dxf>
      <font>
        <b/>
        <i val="0"/>
        <strike val="0"/>
        <condense val="0"/>
        <extend val="0"/>
        <outline val="0"/>
        <shadow val="0"/>
        <u val="none"/>
        <vertAlign val="baseline"/>
        <sz val="9"/>
        <color theme="0"/>
        <name val="Calibri"/>
        <scheme val="minor"/>
      </font>
      <fill>
        <patternFill patternType="solid">
          <fgColor theme="4"/>
          <bgColor theme="4"/>
        </patternFill>
      </fill>
      <alignment horizontal="left" vertical="bottom" textRotation="0" wrapText="1" indent="0" justifyLastLine="0" shrinkToFit="0" readingOrder="0"/>
      <protection locked="1" hidden="1"/>
    </dxf>
    <dxf>
      <font>
        <strike val="0"/>
        <outline val="0"/>
        <shadow val="0"/>
        <u val="none"/>
        <vertAlign val="baseline"/>
        <sz val="9"/>
        <name val="Calibri"/>
        <scheme val="minor"/>
      </font>
      <numFmt numFmtId="164" formatCode="0.0%"/>
      <fill>
        <patternFill patternType="solid">
          <fgColor indexed="64"/>
          <bgColor theme="0" tint="-0.249977111117893"/>
        </patternFill>
      </fill>
      <alignment horizontal="center" vertical="bottom" textRotation="0" wrapText="0" indent="0" justifyLastLine="0" shrinkToFit="0" readingOrder="0"/>
      <protection locked="1" hidden="1"/>
    </dxf>
    <dxf>
      <font>
        <strike val="0"/>
        <outline val="0"/>
        <shadow val="0"/>
        <u val="none"/>
        <vertAlign val="baseline"/>
        <sz val="9"/>
        <name val="Calibri"/>
        <scheme val="minor"/>
      </font>
      <numFmt numFmtId="164" formatCode="0.0%"/>
      <fill>
        <patternFill patternType="solid">
          <fgColor indexed="64"/>
          <bgColor theme="0" tint="-0.249977111117893"/>
        </patternFill>
      </fill>
      <alignment horizontal="center" vertical="bottom" textRotation="0" wrapText="0" indent="0" justifyLastLine="0" shrinkToFit="0" readingOrder="0"/>
      <protection locked="1" hidden="1"/>
    </dxf>
    <dxf>
      <font>
        <strike val="0"/>
        <outline val="0"/>
        <shadow val="0"/>
        <u val="none"/>
        <vertAlign val="baseline"/>
        <sz val="9"/>
        <name val="Calibri"/>
        <scheme val="minor"/>
      </font>
      <numFmt numFmtId="164" formatCode="0.0%"/>
      <fill>
        <patternFill patternType="solid">
          <fgColor indexed="64"/>
          <bgColor theme="0" tint="-0.249977111117893"/>
        </patternFill>
      </fill>
      <alignment horizontal="center" vertical="bottom" textRotation="0" wrapText="0" indent="0" justifyLastLine="0" shrinkToFit="0" readingOrder="0"/>
      <protection locked="1" hidden="1"/>
    </dxf>
    <dxf>
      <font>
        <strike val="0"/>
        <outline val="0"/>
        <shadow val="0"/>
        <u val="none"/>
        <vertAlign val="baseline"/>
        <sz val="9"/>
        <name val="Calibri"/>
        <scheme val="minor"/>
      </font>
      <numFmt numFmtId="164" formatCode="0.0%"/>
      <fill>
        <patternFill patternType="solid">
          <fgColor indexed="64"/>
          <bgColor theme="0" tint="-0.249977111117893"/>
        </patternFill>
      </fill>
      <alignment horizontal="center" vertical="bottom" textRotation="0" wrapText="0" indent="0" justifyLastLine="0" shrinkToFit="0" readingOrder="0"/>
      <protection locked="1" hidden="1"/>
    </dxf>
    <dxf>
      <font>
        <strike val="0"/>
        <outline val="0"/>
        <shadow val="0"/>
        <u val="none"/>
        <vertAlign val="baseline"/>
        <sz val="9"/>
        <name val="Calibri"/>
        <scheme val="minor"/>
      </font>
      <numFmt numFmtId="164" formatCode="0.0%"/>
      <fill>
        <patternFill patternType="solid">
          <fgColor indexed="64"/>
          <bgColor theme="0" tint="-0.249977111117893"/>
        </patternFill>
      </fill>
      <alignment horizontal="center" vertical="bottom" textRotation="0" wrapText="0" indent="0" justifyLastLine="0" shrinkToFit="0" readingOrder="0"/>
      <protection locked="1" hidden="1"/>
    </dxf>
    <dxf>
      <font>
        <strike val="0"/>
        <outline val="0"/>
        <shadow val="0"/>
        <u val="none"/>
        <vertAlign val="baseline"/>
        <sz val="9"/>
        <name val="Calibri"/>
        <scheme val="minor"/>
      </font>
      <numFmt numFmtId="164" formatCode="0.0%"/>
      <fill>
        <patternFill patternType="solid">
          <fgColor indexed="64"/>
          <bgColor theme="0" tint="-0.249977111117893"/>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
        <color theme="1"/>
        <name val="Calibri"/>
        <scheme val="minor"/>
      </font>
      <numFmt numFmtId="164" formatCode="0.0%"/>
      <fill>
        <patternFill patternType="solid">
          <fgColor indexed="64"/>
          <bgColor theme="0" tint="-0.249977111117893"/>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
        <color theme="1"/>
        <name val="Calibri"/>
        <scheme val="minor"/>
      </font>
      <numFmt numFmtId="164" formatCode="0.0%"/>
      <fill>
        <patternFill patternType="solid">
          <fgColor indexed="64"/>
          <bgColor theme="0" tint="-0.249977111117893"/>
        </patternFill>
      </fill>
      <alignment horizontal="center" vertical="bottom" textRotation="0" wrapText="0" indent="0" justifyLastLine="0" shrinkToFit="0" readingOrder="0"/>
      <protection locked="1" hidden="1"/>
    </dxf>
    <dxf>
      <font>
        <strike val="0"/>
        <outline val="0"/>
        <shadow val="0"/>
        <u val="none"/>
        <vertAlign val="baseline"/>
        <sz val="9"/>
        <name val="Calibri"/>
        <scheme val="minor"/>
      </font>
      <numFmt numFmtId="164" formatCode="0.0%"/>
      <alignment horizontal="center" vertical="bottom" textRotation="0" wrapText="0" indent="0" justifyLastLine="0" shrinkToFit="0" readingOrder="0"/>
      <protection locked="1" hidden="1"/>
    </dxf>
    <dxf>
      <font>
        <b val="0"/>
        <i val="0"/>
        <strike val="0"/>
        <condense val="0"/>
        <extend val="0"/>
        <outline val="0"/>
        <shadow val="0"/>
        <u val="none"/>
        <vertAlign val="baseline"/>
        <sz val="9"/>
        <color theme="1"/>
        <name val="Calibri"/>
        <scheme val="minor"/>
      </font>
      <alignment horizontal="left" vertical="bottom" textRotation="0" wrapText="0" indent="0" justifyLastLine="0" shrinkToFit="0" readingOrder="0"/>
      <border diagonalUp="0" diagonalDown="0" outline="0">
        <left/>
        <right/>
        <top style="thin">
          <color theme="4"/>
        </top>
        <bottom/>
      </border>
      <protection locked="1" hidden="1"/>
    </dxf>
    <dxf>
      <border outline="0">
        <left style="thin">
          <color theme="4"/>
        </left>
        <top style="thin">
          <color theme="4"/>
        </top>
      </border>
    </dxf>
    <dxf>
      <font>
        <strike val="0"/>
        <outline val="0"/>
        <shadow val="0"/>
        <u val="none"/>
        <vertAlign val="baseline"/>
        <sz val="9"/>
        <name val="Calibri"/>
        <scheme val="minor"/>
      </font>
      <protection locked="1" hidden="1"/>
    </dxf>
    <dxf>
      <font>
        <b/>
        <i val="0"/>
        <strike val="0"/>
        <condense val="0"/>
        <extend val="0"/>
        <outline val="0"/>
        <shadow val="0"/>
        <u val="none"/>
        <vertAlign val="baseline"/>
        <sz val="9"/>
        <color theme="0"/>
        <name val="Calibri"/>
        <scheme val="minor"/>
      </font>
      <fill>
        <patternFill patternType="solid">
          <fgColor theme="4"/>
          <bgColor theme="4"/>
        </patternFill>
      </fill>
      <alignment horizontal="left" vertical="bottom" textRotation="0" wrapText="0" indent="0" justifyLastLine="0" shrinkToFit="0" readingOrder="0"/>
      <protection locked="1" hidden="1"/>
    </dxf>
    <dxf>
      <font>
        <strike val="0"/>
        <outline val="0"/>
        <shadow val="0"/>
        <u val="none"/>
        <vertAlign val="baseline"/>
        <sz val="9"/>
        <name val="Calibri"/>
        <scheme val="minor"/>
      </font>
      <numFmt numFmtId="164" formatCode="0.0%"/>
      <fill>
        <patternFill patternType="solid">
          <fgColor indexed="64"/>
          <bgColor theme="0" tint="-0.249977111117893"/>
        </patternFill>
      </fill>
      <alignment horizontal="center" vertical="bottom" textRotation="0" wrapText="0" indent="0" justifyLastLine="0" shrinkToFit="0" readingOrder="0"/>
      <protection locked="1" hidden="1"/>
    </dxf>
    <dxf>
      <font>
        <strike val="0"/>
        <outline val="0"/>
        <shadow val="0"/>
        <u val="none"/>
        <vertAlign val="baseline"/>
        <sz val="9"/>
        <name val="Calibri"/>
        <scheme val="minor"/>
      </font>
      <numFmt numFmtId="164" formatCode="0.0%"/>
      <fill>
        <patternFill patternType="solid">
          <fgColor indexed="64"/>
          <bgColor theme="0" tint="-0.249977111117893"/>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
        <color theme="1"/>
        <name val="Calibri"/>
        <scheme val="minor"/>
      </font>
      <alignment horizontal="left" vertical="bottom" textRotation="0" wrapText="0" indent="0" justifyLastLine="0" shrinkToFit="0" readingOrder="0"/>
      <border diagonalUp="0" diagonalDown="0" outline="0">
        <left/>
        <right/>
        <top style="thin">
          <color theme="4"/>
        </top>
        <bottom/>
      </border>
      <protection locked="1" hidden="1"/>
    </dxf>
    <dxf>
      <border outline="0">
        <left style="thin">
          <color theme="4"/>
        </left>
        <top style="thin">
          <color theme="4"/>
        </top>
      </border>
    </dxf>
    <dxf>
      <font>
        <strike val="0"/>
        <outline val="0"/>
        <shadow val="0"/>
        <u val="none"/>
        <vertAlign val="baseline"/>
        <sz val="9"/>
        <name val="Calibri"/>
        <scheme val="minor"/>
      </font>
      <protection locked="1" hidden="1"/>
    </dxf>
    <dxf>
      <font>
        <b/>
        <i val="0"/>
        <strike val="0"/>
        <condense val="0"/>
        <extend val="0"/>
        <outline val="0"/>
        <shadow val="0"/>
        <u val="none"/>
        <vertAlign val="baseline"/>
        <sz val="9"/>
        <color theme="0"/>
        <name val="Calibri"/>
        <scheme val="minor"/>
      </font>
      <fill>
        <patternFill patternType="solid">
          <fgColor theme="4"/>
          <bgColor theme="4"/>
        </patternFill>
      </fill>
      <alignment horizontal="left" vertical="bottom" textRotation="0" wrapText="1" indent="0" justifyLastLine="0" shrinkToFit="0" readingOrder="0"/>
      <protection locked="1" hidden="1"/>
    </dxf>
    <dxf>
      <font>
        <b val="0"/>
        <i val="0"/>
        <strike val="0"/>
        <condense val="0"/>
        <extend val="0"/>
        <outline val="0"/>
        <shadow val="0"/>
        <u val="none"/>
        <vertAlign val="baseline"/>
        <sz val="9"/>
        <color auto="1"/>
        <name val="Calibri"/>
        <scheme val="minor"/>
      </font>
      <numFmt numFmtId="164" formatCode="0.0%"/>
      <alignment horizontal="center" vertical="bottom" textRotation="0" wrapText="0" indent="0" justifyLastLine="0" shrinkToFit="0" readingOrder="0"/>
      <protection locked="1" hidden="1"/>
    </dxf>
    <dxf>
      <font>
        <b val="0"/>
        <i val="0"/>
        <strike val="0"/>
        <condense val="0"/>
        <extend val="0"/>
        <outline val="0"/>
        <shadow val="0"/>
        <u val="none"/>
        <vertAlign val="baseline"/>
        <sz val="9"/>
        <color theme="1"/>
        <name val="Calibri"/>
        <scheme val="minor"/>
      </font>
      <alignment horizontal="left" vertical="bottom" textRotation="0" wrapText="0" indent="0" justifyLastLine="0" shrinkToFit="0" readingOrder="0"/>
      <border diagonalUp="0" diagonalDown="0" outline="0">
        <left/>
        <right/>
        <top style="thin">
          <color theme="4"/>
        </top>
        <bottom/>
      </border>
      <protection locked="1" hidden="1"/>
    </dxf>
    <dxf>
      <border outline="0">
        <left style="thin">
          <color theme="4"/>
        </left>
      </border>
    </dxf>
    <dxf>
      <font>
        <b val="0"/>
        <i val="0"/>
        <strike val="0"/>
        <condense val="0"/>
        <extend val="0"/>
        <outline val="0"/>
        <shadow val="0"/>
        <u val="none"/>
        <vertAlign val="baseline"/>
        <sz val="9"/>
        <color theme="1"/>
        <name val="Calibri"/>
        <scheme val="minor"/>
      </font>
      <protection locked="1" hidden="1"/>
    </dxf>
    <dxf>
      <font>
        <b/>
        <i val="0"/>
        <strike val="0"/>
        <condense val="0"/>
        <extend val="0"/>
        <outline val="0"/>
        <shadow val="0"/>
        <u val="none"/>
        <vertAlign val="baseline"/>
        <sz val="9"/>
        <color theme="0"/>
        <name val="Calibri"/>
        <scheme val="minor"/>
      </font>
      <fill>
        <patternFill patternType="solid">
          <fgColor theme="4"/>
          <bgColor theme="4"/>
        </patternFill>
      </fill>
      <alignment horizontal="left" vertical="bottom" textRotation="0" wrapText="1" indent="0" justifyLastLine="0" shrinkToFit="0" readingOrder="0"/>
      <protection locked="1" hidden="1"/>
    </dxf>
    <dxf>
      <font>
        <strike val="0"/>
        <outline val="0"/>
        <shadow val="0"/>
        <u val="none"/>
        <vertAlign val="baseline"/>
        <sz val="9"/>
        <name val="Calibri"/>
        <scheme val="minor"/>
      </font>
      <numFmt numFmtId="164" formatCode="0.0%"/>
      <fill>
        <patternFill patternType="none">
          <fgColor indexed="64"/>
          <bgColor indexed="65"/>
        </patternFill>
      </fill>
      <alignment horizontal="center" vertical="bottom" textRotation="0" wrapText="0" indent="0" justifyLastLine="0" shrinkToFit="0" readingOrder="0"/>
      <protection locked="1" hidden="1"/>
    </dxf>
    <dxf>
      <font>
        <strike val="0"/>
        <outline val="0"/>
        <shadow val="0"/>
        <u val="none"/>
        <vertAlign val="baseline"/>
        <sz val="9"/>
        <name val="Calibri"/>
        <scheme val="minor"/>
      </font>
      <numFmt numFmtId="164" formatCode="0.0%"/>
      <fill>
        <patternFill patternType="none">
          <fgColor indexed="64"/>
          <bgColor indexed="65"/>
        </patternFill>
      </fill>
      <alignment horizontal="center" vertical="bottom" textRotation="0" wrapText="0" indent="0" justifyLastLine="0" shrinkToFit="0" readingOrder="0"/>
      <protection locked="1" hidden="1"/>
    </dxf>
    <dxf>
      <font>
        <strike val="0"/>
        <outline val="0"/>
        <shadow val="0"/>
        <u val="none"/>
        <vertAlign val="baseline"/>
        <sz val="9"/>
        <name val="Calibri"/>
        <scheme val="minor"/>
      </font>
      <numFmt numFmtId="164" formatCode="0.0%"/>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
        <color theme="1"/>
        <name val="Calibri"/>
        <scheme val="minor"/>
      </font>
      <alignment horizontal="left" vertical="bottom" textRotation="0" wrapText="0" indent="0" justifyLastLine="0" shrinkToFit="0" readingOrder="0"/>
      <border diagonalUp="0" diagonalDown="0" outline="0">
        <left/>
        <right/>
        <top style="thin">
          <color theme="4"/>
        </top>
        <bottom/>
      </border>
      <protection locked="1" hidden="1"/>
    </dxf>
    <dxf>
      <font>
        <strike val="0"/>
        <outline val="0"/>
        <shadow val="0"/>
        <u val="none"/>
        <vertAlign val="baseline"/>
        <sz val="9"/>
        <name val="Calibri"/>
        <scheme val="minor"/>
      </font>
      <protection locked="1" hidden="1"/>
    </dxf>
    <dxf>
      <font>
        <b/>
        <i val="0"/>
        <strike val="0"/>
        <condense val="0"/>
        <extend val="0"/>
        <outline val="0"/>
        <shadow val="0"/>
        <u val="none"/>
        <vertAlign val="baseline"/>
        <sz val="9"/>
        <color theme="0"/>
        <name val="Calibri"/>
        <scheme val="minor"/>
      </font>
      <fill>
        <patternFill patternType="solid">
          <fgColor theme="4"/>
          <bgColor theme="4"/>
        </patternFill>
      </fill>
      <alignment horizontal="left" vertical="bottom" textRotation="0" wrapText="1" indent="0" justifyLastLine="0" shrinkToFit="0" readingOrder="0"/>
      <protection locked="1" hidden="1"/>
    </dxf>
    <dxf>
      <font>
        <strike val="0"/>
        <outline val="0"/>
        <shadow val="0"/>
        <u val="none"/>
        <vertAlign val="baseline"/>
        <sz val="10"/>
        <name val="Calibri"/>
        <scheme val="minor"/>
      </font>
      <numFmt numFmtId="9" formatCode="&quot;$&quot;#,##0_);\(&quot;$&quot;#,##0\)"/>
      <fill>
        <patternFill patternType="none">
          <fgColor indexed="64"/>
          <bgColor indexed="65"/>
        </patternFill>
      </fill>
      <alignment horizontal="center" vertical="center" textRotation="0" wrapText="0" indent="0" justifyLastLine="0" shrinkToFit="0" readingOrder="0"/>
      <border diagonalUp="0" diagonalDown="0">
        <left/>
        <right/>
        <top style="thin">
          <color theme="3"/>
        </top>
        <bottom style="thin">
          <color theme="3"/>
        </bottom>
      </border>
      <protection locked="1" hidden="1"/>
    </dxf>
    <dxf>
      <font>
        <b val="0"/>
        <i val="0"/>
        <strike val="0"/>
        <condense val="0"/>
        <extend val="0"/>
        <outline val="0"/>
        <shadow val="0"/>
        <u val="none"/>
        <vertAlign val="baseline"/>
        <sz val="10"/>
        <color theme="1"/>
        <name val="Calibri"/>
        <scheme val="minor"/>
      </font>
      <numFmt numFmtId="164" formatCode="0.0%"/>
      <alignment horizontal="center" vertical="center" textRotation="0" wrapText="0" indent="0" justifyLastLine="0" shrinkToFit="0" readingOrder="0"/>
      <border diagonalUp="0" diagonalDown="0">
        <left/>
        <right/>
        <top style="thin">
          <color theme="3"/>
        </top>
        <bottom style="thin">
          <color theme="3"/>
        </bottom>
      </border>
      <protection locked="1" hidden="1"/>
    </dxf>
    <dxf>
      <font>
        <b val="0"/>
        <i val="0"/>
        <strike val="0"/>
        <condense val="0"/>
        <extend val="0"/>
        <outline val="0"/>
        <shadow val="0"/>
        <u val="none"/>
        <vertAlign val="baseline"/>
        <sz val="10"/>
        <color theme="1"/>
        <name val="Calibri"/>
        <scheme val="minor"/>
      </font>
      <numFmt numFmtId="9" formatCode="&quot;$&quot;#,##0_);\(&quot;$&quot;#,##0\)"/>
      <fill>
        <patternFill patternType="none">
          <fgColor indexed="64"/>
          <bgColor indexed="65"/>
        </patternFill>
      </fill>
      <alignment horizontal="center" vertical="center" textRotation="0" wrapText="0" indent="0" justifyLastLine="0" shrinkToFit="0" readingOrder="0"/>
      <border diagonalUp="0" diagonalDown="0">
        <left/>
        <right/>
        <top style="thin">
          <color theme="3"/>
        </top>
        <bottom style="thin">
          <color theme="3"/>
        </bottom>
      </border>
      <protection locked="1" hidden="1"/>
    </dxf>
    <dxf>
      <font>
        <b val="0"/>
        <i val="0"/>
        <strike val="0"/>
        <condense val="0"/>
        <extend val="0"/>
        <outline val="0"/>
        <shadow val="0"/>
        <u val="none"/>
        <vertAlign val="baseline"/>
        <sz val="10"/>
        <color theme="1"/>
        <name val="Calibri"/>
        <scheme val="minor"/>
      </font>
      <numFmt numFmtId="164" formatCode="0.0%"/>
      <alignment horizontal="center" vertical="center" textRotation="0" wrapText="0" indent="0" justifyLastLine="0" shrinkToFit="0" readingOrder="0"/>
      <border diagonalUp="0" diagonalDown="0" outline="0">
        <left/>
        <right/>
        <top style="thin">
          <color theme="3"/>
        </top>
        <bottom style="thin">
          <color theme="3"/>
        </bottom>
      </border>
      <protection locked="1" hidden="1"/>
    </dxf>
    <dxf>
      <font>
        <b val="0"/>
        <i val="0"/>
        <strike val="0"/>
        <condense val="0"/>
        <extend val="0"/>
        <outline val="0"/>
        <shadow val="0"/>
        <u val="none"/>
        <vertAlign val="baseline"/>
        <sz val="10"/>
        <color theme="1"/>
        <name val="Calibri"/>
        <scheme val="minor"/>
      </font>
      <numFmt numFmtId="3" formatCode="#,##0"/>
      <alignment horizontal="center" vertical="center" textRotation="0" wrapText="0" indent="0" justifyLastLine="0" shrinkToFit="0" readingOrder="0"/>
      <border diagonalUp="0" diagonalDown="0">
        <left/>
        <right/>
        <top style="thin">
          <color theme="3"/>
        </top>
        <bottom style="thin">
          <color theme="3"/>
        </bottom>
      </border>
      <protection locked="1" hidden="1"/>
    </dxf>
    <dxf>
      <font>
        <b val="0"/>
        <i val="0"/>
        <strike val="0"/>
        <condense val="0"/>
        <extend val="0"/>
        <outline val="0"/>
        <shadow val="0"/>
        <u val="none"/>
        <vertAlign val="baseline"/>
        <sz val="10"/>
        <color theme="1"/>
        <name val="Calibri"/>
        <scheme val="minor"/>
      </font>
      <numFmt numFmtId="9" formatCode="&quot;$&quot;#,##0_);\(&quot;$&quot;#,##0\)"/>
      <alignment horizontal="center" vertical="center" textRotation="0" wrapText="0" indent="0" justifyLastLine="0" shrinkToFit="0" readingOrder="0"/>
      <border diagonalUp="0" diagonalDown="0" outline="0">
        <left/>
        <right/>
        <top style="thin">
          <color theme="3"/>
        </top>
        <bottom style="thin">
          <color theme="3"/>
        </bottom>
      </border>
      <protection locked="1" hidden="1"/>
    </dxf>
    <dxf>
      <font>
        <b val="0"/>
        <i val="0"/>
        <strike val="0"/>
        <condense val="0"/>
        <extend val="0"/>
        <outline val="0"/>
        <shadow val="0"/>
        <u val="none"/>
        <vertAlign val="baseline"/>
        <sz val="9"/>
        <color rgb="FF000000"/>
        <name val="Calibri"/>
        <scheme val="minor"/>
      </font>
      <numFmt numFmtId="0" formatCode="General"/>
      <fill>
        <patternFill patternType="solid">
          <fgColor indexed="64"/>
          <bgColor theme="0"/>
        </patternFill>
      </fill>
      <alignment horizontal="left" vertical="bottom" textRotation="0" wrapText="0" indent="0" justifyLastLine="0" shrinkToFit="0" readingOrder="0"/>
      <border diagonalUp="0" diagonalDown="0" outline="0">
        <left/>
        <right/>
        <top style="thin">
          <color theme="4"/>
        </top>
        <bottom/>
      </border>
      <protection locked="1" hidden="1"/>
    </dxf>
    <dxf>
      <border>
        <top style="thin">
          <color theme="3"/>
        </top>
      </border>
    </dxf>
    <dxf>
      <border diagonalUp="0" diagonalDown="0">
        <left/>
        <right/>
        <top/>
        <bottom/>
      </border>
    </dxf>
    <dxf>
      <font>
        <strike val="0"/>
        <outline val="0"/>
        <shadow val="0"/>
        <u val="none"/>
        <vertAlign val="baseline"/>
        <sz val="10"/>
        <name val="Calibri"/>
        <scheme val="minor"/>
      </font>
      <numFmt numFmtId="0" formatCode="General"/>
      <protection locked="1" hidden="1"/>
    </dxf>
    <dxf>
      <border>
        <bottom style="thin">
          <color theme="3"/>
        </bottom>
      </border>
    </dxf>
    <dxf>
      <font>
        <b val="0"/>
        <i val="0"/>
        <strike val="0"/>
        <condense val="0"/>
        <extend val="0"/>
        <outline val="0"/>
        <shadow val="0"/>
        <u val="none"/>
        <vertAlign val="baseline"/>
        <sz val="10"/>
        <color theme="0"/>
        <name val="Calibri"/>
        <scheme val="minor"/>
      </font>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style="thin">
          <color theme="3"/>
        </left>
        <right style="thin">
          <color theme="3"/>
        </right>
        <top/>
        <bottom/>
      </border>
      <protection locked="1" hidden="1"/>
    </dxf>
    <dxf>
      <font>
        <strike val="0"/>
        <outline val="0"/>
        <shadow val="0"/>
        <u val="none"/>
        <vertAlign val="baseline"/>
        <sz val="10"/>
        <name val="Calibri"/>
        <scheme val="minor"/>
      </font>
      <numFmt numFmtId="9" formatCode="&quot;$&quot;#,##0_);\(&quot;$&quot;#,##0\)"/>
      <fill>
        <patternFill patternType="none">
          <fgColor indexed="64"/>
          <bgColor indexed="65"/>
        </patternFill>
      </fill>
      <alignment horizontal="center" vertical="center" textRotation="0" wrapText="0" indent="0" justifyLastLine="0" shrinkToFit="0" readingOrder="0"/>
      <border diagonalUp="0" diagonalDown="0" outline="0">
        <left/>
        <right/>
        <top style="thin">
          <color theme="3"/>
        </top>
        <bottom style="thin">
          <color theme="3"/>
        </bottom>
      </border>
      <protection locked="1" hidden="1"/>
    </dxf>
    <dxf>
      <font>
        <b val="0"/>
        <i val="0"/>
        <strike val="0"/>
        <condense val="0"/>
        <extend val="0"/>
        <outline val="0"/>
        <shadow val="0"/>
        <u val="none"/>
        <vertAlign val="baseline"/>
        <sz val="10"/>
        <color theme="1"/>
        <name val="Calibri"/>
        <scheme val="minor"/>
      </font>
      <numFmt numFmtId="164" formatCode="0.0%"/>
      <alignment horizontal="center" vertical="center" textRotation="0" wrapText="0" indent="0" justifyLastLine="0" shrinkToFit="0" readingOrder="0"/>
      <border diagonalUp="0" diagonalDown="0" outline="0">
        <left/>
        <right/>
        <top style="thin">
          <color theme="3"/>
        </top>
        <bottom style="thin">
          <color theme="3"/>
        </bottom>
      </border>
      <protection locked="1" hidden="1"/>
    </dxf>
    <dxf>
      <font>
        <b val="0"/>
        <i val="0"/>
        <strike val="0"/>
        <condense val="0"/>
        <extend val="0"/>
        <outline val="0"/>
        <shadow val="0"/>
        <u val="none"/>
        <vertAlign val="baseline"/>
        <sz val="10"/>
        <color theme="1"/>
        <name val="Calibri"/>
        <scheme val="minor"/>
      </font>
      <numFmt numFmtId="9" formatCode="&quot;$&quot;#,##0_);\(&quot;$&quot;#,##0\)"/>
      <fill>
        <patternFill patternType="none">
          <fgColor indexed="64"/>
          <bgColor indexed="65"/>
        </patternFill>
      </fill>
      <alignment horizontal="center" vertical="center" textRotation="0" wrapText="0" indent="0" justifyLastLine="0" shrinkToFit="0" readingOrder="0"/>
      <border diagonalUp="0" diagonalDown="0">
        <left/>
        <right/>
        <top style="thin">
          <color theme="3"/>
        </top>
        <bottom style="thin">
          <color theme="3"/>
        </bottom>
      </border>
      <protection locked="0" hidden="1"/>
    </dxf>
    <dxf>
      <font>
        <b val="0"/>
        <i val="0"/>
        <strike val="0"/>
        <condense val="0"/>
        <extend val="0"/>
        <outline val="0"/>
        <shadow val="0"/>
        <u val="none"/>
        <vertAlign val="baseline"/>
        <sz val="10"/>
        <color theme="1"/>
        <name val="Calibri"/>
        <scheme val="minor"/>
      </font>
      <numFmt numFmtId="164" formatCode="0.0%"/>
      <alignment horizontal="center" vertical="center" textRotation="0" wrapText="0" indent="0" justifyLastLine="0" shrinkToFit="0" readingOrder="0"/>
      <border diagonalUp="0" diagonalDown="0" outline="0">
        <left/>
        <right/>
        <top style="thin">
          <color theme="3"/>
        </top>
        <bottom style="thin">
          <color theme="3"/>
        </bottom>
      </border>
      <protection locked="0" hidden="1"/>
    </dxf>
    <dxf>
      <font>
        <b val="0"/>
        <i val="0"/>
        <strike val="0"/>
        <condense val="0"/>
        <extend val="0"/>
        <outline val="0"/>
        <shadow val="0"/>
        <u val="none"/>
        <vertAlign val="baseline"/>
        <sz val="10"/>
        <color theme="1"/>
        <name val="Calibri"/>
        <scheme val="minor"/>
      </font>
      <numFmt numFmtId="3" formatCode="#,##0"/>
      <alignment horizontal="center" vertical="center" textRotation="0" wrapText="0" indent="0" justifyLastLine="0" shrinkToFit="0" readingOrder="0"/>
      <border diagonalUp="0" diagonalDown="0" outline="0">
        <left/>
        <right/>
        <top style="thin">
          <color theme="3"/>
        </top>
        <bottom style="thin">
          <color theme="3"/>
        </bottom>
      </border>
      <protection locked="0" hidden="1"/>
    </dxf>
    <dxf>
      <font>
        <b val="0"/>
        <i val="0"/>
        <strike val="0"/>
        <condense val="0"/>
        <extend val="0"/>
        <outline val="0"/>
        <shadow val="0"/>
        <u val="none"/>
        <vertAlign val="baseline"/>
        <sz val="10"/>
        <color theme="1"/>
        <name val="Calibri"/>
        <scheme val="minor"/>
      </font>
      <numFmt numFmtId="9" formatCode="&quot;$&quot;#,##0_);\(&quot;$&quot;#,##0\)"/>
      <alignment horizontal="center" vertical="center" textRotation="0" wrapText="0" indent="0" justifyLastLine="0" shrinkToFit="0" readingOrder="0"/>
      <border diagonalUp="0" diagonalDown="0" outline="0">
        <left/>
        <right/>
        <top style="thin">
          <color theme="3"/>
        </top>
        <bottom style="thin">
          <color theme="3"/>
        </bottom>
      </border>
      <protection locked="0" hidden="1"/>
    </dxf>
    <dxf>
      <font>
        <b val="0"/>
        <i val="0"/>
        <strike val="0"/>
        <condense val="0"/>
        <extend val="0"/>
        <outline val="0"/>
        <shadow val="0"/>
        <u val="none"/>
        <vertAlign val="baseline"/>
        <sz val="9"/>
        <color rgb="FF000000"/>
        <name val="Calibri"/>
        <scheme val="minor"/>
      </font>
      <numFmt numFmtId="0" formatCode="General"/>
      <alignment horizontal="left" vertical="bottom" textRotation="0" wrapText="0" indent="0" justifyLastLine="0" shrinkToFit="0" readingOrder="0"/>
      <border diagonalUp="0" diagonalDown="0" outline="0">
        <left/>
        <right/>
        <top style="thin">
          <color theme="4"/>
        </top>
        <bottom/>
      </border>
      <protection locked="1" hidden="1"/>
    </dxf>
    <dxf>
      <border>
        <top style="thin">
          <color theme="3"/>
        </top>
      </border>
    </dxf>
    <dxf>
      <border diagonalUp="0" diagonalDown="0">
        <left/>
        <right/>
        <top/>
        <bottom/>
      </border>
    </dxf>
    <dxf>
      <font>
        <strike val="0"/>
        <outline val="0"/>
        <shadow val="0"/>
        <u val="none"/>
        <vertAlign val="baseline"/>
        <sz val="10"/>
        <name val="Calibri"/>
        <scheme val="minor"/>
      </font>
      <numFmt numFmtId="0" formatCode="General"/>
      <protection locked="0" hidden="1"/>
    </dxf>
    <dxf>
      <border>
        <bottom style="thin">
          <color theme="3"/>
        </bottom>
      </border>
    </dxf>
    <dxf>
      <font>
        <b val="0"/>
        <i val="0"/>
        <strike val="0"/>
        <condense val="0"/>
        <extend val="0"/>
        <outline val="0"/>
        <shadow val="0"/>
        <u val="none"/>
        <vertAlign val="baseline"/>
        <sz val="10"/>
        <color theme="0"/>
        <name val="Calibri"/>
        <scheme val="minor"/>
      </font>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style="thin">
          <color theme="3"/>
        </left>
        <right style="thin">
          <color theme="3"/>
        </right>
        <top/>
        <bottom/>
      </border>
      <protection locked="0" hidden="1"/>
    </dxf>
    <dxf>
      <font>
        <b val="0"/>
        <i val="0"/>
        <strike val="0"/>
        <condense val="0"/>
        <extend val="0"/>
        <outline val="0"/>
        <shadow val="0"/>
        <u val="none"/>
        <vertAlign val="baseline"/>
        <sz val="9"/>
        <color theme="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1"/>
    </dxf>
    <dxf>
      <font>
        <b val="0"/>
        <i val="0"/>
        <strike val="0"/>
        <condense val="0"/>
        <extend val="0"/>
        <outline val="0"/>
        <shadow val="0"/>
        <u val="none"/>
        <vertAlign val="baseline"/>
        <sz val="9"/>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1"/>
    </dxf>
    <dxf>
      <font>
        <b val="0"/>
        <i val="0"/>
        <strike val="0"/>
        <condense val="0"/>
        <extend val="0"/>
        <outline val="0"/>
        <shadow val="0"/>
        <u val="none"/>
        <vertAlign val="baseline"/>
        <sz val="9"/>
        <color theme="1"/>
        <name val="Calibri"/>
        <scheme val="minor"/>
      </font>
      <numFmt numFmtId="13" formatCode="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1"/>
    </dxf>
    <dxf>
      <font>
        <b val="0"/>
        <i val="0"/>
        <strike val="0"/>
        <condense val="0"/>
        <extend val="0"/>
        <outline val="0"/>
        <shadow val="0"/>
        <u val="none"/>
        <vertAlign val="baseline"/>
        <sz val="9"/>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1"/>
    </dxf>
    <dxf>
      <font>
        <b val="0"/>
        <i val="0"/>
        <strike val="0"/>
        <condense val="0"/>
        <extend val="0"/>
        <outline val="0"/>
        <shadow val="0"/>
        <u val="none"/>
        <vertAlign val="baseline"/>
        <sz val="9"/>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1"/>
    </dxf>
    <dxf>
      <font>
        <b val="0"/>
        <i val="0"/>
        <strike val="0"/>
        <condense val="0"/>
        <extend val="0"/>
        <outline val="0"/>
        <shadow val="0"/>
        <u val="none"/>
        <vertAlign val="baseline"/>
        <sz val="9"/>
        <color rgb="FF00000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1"/>
    </dxf>
    <dxf>
      <font>
        <b val="0"/>
        <i val="0"/>
        <strike val="0"/>
        <condense val="0"/>
        <extend val="0"/>
        <outline val="0"/>
        <shadow val="0"/>
        <u val="none"/>
        <vertAlign val="baseline"/>
        <sz val="9"/>
        <color rgb="FF000000"/>
        <name val="Calibri"/>
        <scheme val="minor"/>
      </font>
      <numFmt numFmtId="13" formatCode="0%"/>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1"/>
    </dxf>
    <dxf>
      <font>
        <b val="0"/>
        <i val="0"/>
        <strike val="0"/>
        <condense val="0"/>
        <extend val="0"/>
        <outline val="0"/>
        <shadow val="0"/>
        <u val="none"/>
        <vertAlign val="baseline"/>
        <sz val="9"/>
        <color rgb="FF000000"/>
        <name val="Calibri"/>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style="thin">
          <color auto="1"/>
        </right>
        <top style="thin">
          <color auto="1"/>
        </top>
        <bottom style="thin">
          <color auto="1"/>
        </bottom>
      </border>
      <protection locked="0" hidden="1"/>
    </dxf>
    <dxf>
      <border>
        <top style="thin">
          <color auto="1"/>
        </top>
      </border>
    </dxf>
    <dxf>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9"/>
        <color theme="1"/>
        <name val="Calibri"/>
        <scheme val="minor"/>
      </font>
      <alignment horizontal="center" vertical="bottom" textRotation="0" wrapText="0" indent="0" justifyLastLine="0" shrinkToFit="0" readingOrder="0"/>
      <protection locked="0" hidden="1"/>
    </dxf>
    <dxf>
      <border>
        <bottom style="thin">
          <color auto="1"/>
        </bottom>
      </border>
    </dxf>
    <dxf>
      <font>
        <b/>
        <i val="0"/>
        <strike val="0"/>
        <condense val="0"/>
        <extend val="0"/>
        <outline val="0"/>
        <shadow val="0"/>
        <u val="none"/>
        <vertAlign val="baseline"/>
        <sz val="9"/>
        <color theme="0"/>
        <name val="Calibri"/>
        <scheme val="minor"/>
      </font>
      <fill>
        <patternFill patternType="solid">
          <fgColor theme="4"/>
          <bgColor theme="4"/>
        </patternFill>
      </fill>
      <alignment horizontal="center" vertical="bottom" textRotation="0" wrapText="1" indent="0" justifyLastLine="0" shrinkToFit="0" readingOrder="0"/>
      <border diagonalUp="0" diagonalDown="0" outline="0">
        <left style="thin">
          <color auto="1"/>
        </left>
        <right style="thin">
          <color auto="1"/>
        </right>
        <top/>
        <bottom/>
      </border>
      <protection locked="0" hidden="1"/>
    </dxf>
    <dxf>
      <font>
        <strike val="0"/>
        <outline val="0"/>
        <shadow val="0"/>
        <u val="none"/>
        <vertAlign val="baseline"/>
        <sz val="9"/>
        <color rgb="FF3F3F76"/>
        <name val="Calibri"/>
        <scheme val="minor"/>
      </font>
      <numFmt numFmtId="3" formatCode="#,##0"/>
      <fill>
        <patternFill patternType="solid">
          <fgColor indexed="64"/>
          <bgColor theme="0"/>
        </patternFill>
      </fill>
      <alignment horizontal="center" vertical="center"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0" hidden="1"/>
    </dxf>
    <dxf>
      <font>
        <strike val="0"/>
        <outline val="0"/>
        <shadow val="0"/>
        <u val="none"/>
        <vertAlign val="baseline"/>
        <sz val="9"/>
        <color rgb="FF3F3F76"/>
        <name val="Calibri"/>
        <scheme val="minor"/>
      </font>
      <numFmt numFmtId="3" formatCode="#,##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0" hidden="1"/>
    </dxf>
    <dxf>
      <font>
        <b val="0"/>
        <i val="0"/>
        <strike val="0"/>
        <condense val="0"/>
        <extend val="0"/>
        <outline val="0"/>
        <shadow val="0"/>
        <u val="none"/>
        <vertAlign val="baseline"/>
        <sz val="9"/>
        <color rgb="FF3F3F76"/>
        <name val="Calibri"/>
        <scheme val="minor"/>
      </font>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0" hidden="1"/>
    </dxf>
    <dxf>
      <font>
        <strike val="0"/>
        <outline val="0"/>
        <shadow val="0"/>
        <u val="none"/>
        <vertAlign val="baseline"/>
        <sz val="9"/>
        <color rgb="FF3F3F76"/>
        <name val="Calibri"/>
        <scheme val="minor"/>
      </font>
      <numFmt numFmtId="3" formatCode="#,##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0" hidden="1"/>
    </dxf>
    <dxf>
      <font>
        <strike val="0"/>
        <outline val="0"/>
        <shadow val="0"/>
        <u val="none"/>
        <vertAlign val="baseline"/>
        <sz val="9"/>
        <color rgb="FF3F3F76"/>
        <name val="Calibri"/>
        <scheme val="minor"/>
      </font>
      <numFmt numFmtId="3" formatCode="#,##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0" hidden="1"/>
    </dxf>
    <dxf>
      <font>
        <strike val="0"/>
        <outline val="0"/>
        <shadow val="0"/>
        <u val="none"/>
        <vertAlign val="baseline"/>
        <sz val="9"/>
        <color rgb="FF3F3F76"/>
        <name val="Calibri"/>
        <scheme val="minor"/>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0" hidden="1"/>
    </dxf>
    <dxf>
      <font>
        <b val="0"/>
        <i val="0"/>
        <strike val="0"/>
        <condense val="0"/>
        <extend val="0"/>
        <outline val="0"/>
        <shadow val="0"/>
        <u val="none"/>
        <vertAlign val="baseline"/>
        <sz val="9"/>
        <color rgb="FFFF0000"/>
        <name val="Calibri"/>
        <scheme val="minor"/>
      </font>
      <alignment horizontal="right" vertical="center" textRotation="0" wrapText="0" justifyLastLine="0" shrinkToFit="0"/>
      <protection locked="0" hidden="1"/>
    </dxf>
    <dxf>
      <font>
        <strike val="0"/>
        <outline val="0"/>
        <shadow val="0"/>
        <u val="none"/>
        <vertAlign val="baseline"/>
        <sz val="9"/>
        <name val="Calibri"/>
        <scheme val="minor"/>
      </font>
      <alignment horizontal="center" vertical="center" textRotation="0" wrapText="0" indent="0" justifyLastLine="0" shrinkToFit="0" readingOrder="0"/>
      <protection locked="0" hidden="1"/>
    </dxf>
    <dxf>
      <font>
        <b/>
        <i val="0"/>
        <strike val="0"/>
        <condense val="0"/>
        <extend val="0"/>
        <outline val="0"/>
        <shadow val="0"/>
        <u val="none"/>
        <vertAlign val="baseline"/>
        <sz val="9"/>
        <color theme="0"/>
        <name val="Calibri"/>
        <scheme val="minor"/>
      </font>
      <fill>
        <patternFill patternType="solid">
          <fgColor theme="4"/>
          <bgColor theme="4"/>
        </patternFill>
      </fill>
      <alignment horizontal="right" vertical="bottom" textRotation="0" wrapText="0" indent="0" justifyLastLine="0" shrinkToFit="0" readingOrder="0"/>
      <protection locked="0" hidden="1"/>
    </dxf>
    <dxf>
      <font>
        <strike val="0"/>
        <outline val="0"/>
        <shadow val="0"/>
        <u val="none"/>
        <vertAlign val="baseline"/>
        <sz val="9"/>
        <name val="Calibri"/>
        <scheme val="minor"/>
      </font>
      <fill>
        <patternFill patternType="solid">
          <fgColor indexed="64"/>
          <bgColor theme="0"/>
        </patternFill>
      </fill>
      <alignment horizontal="center" vertical="bottom" textRotation="0" wrapText="0" indent="0" justifyLastLine="0" shrinkToFit="0" readingOrder="0"/>
      <border outline="0">
        <left style="thin">
          <color rgb="FF7F7F7F"/>
        </left>
      </border>
      <protection locked="0" hidden="1"/>
    </dxf>
    <dxf>
      <font>
        <strike val="0"/>
        <outline val="0"/>
        <shadow val="0"/>
        <u val="none"/>
        <vertAlign val="baseline"/>
        <sz val="9"/>
        <name val="Calibri"/>
        <scheme val="minor"/>
      </font>
      <fill>
        <patternFill patternType="solid">
          <fgColor indexed="64"/>
          <bgColor theme="0"/>
        </patternFill>
      </fill>
      <alignment horizontal="center" vertical="bottom" textRotation="0" wrapText="0" indent="0" justifyLastLine="0" shrinkToFit="0" readingOrder="0"/>
      <border outline="0">
        <left style="thin">
          <color rgb="FFB2B2B2"/>
        </left>
        <right style="thin">
          <color rgb="FF7F7F7F"/>
        </right>
      </border>
      <protection locked="0" hidden="1"/>
    </dxf>
    <dxf>
      <font>
        <b val="0"/>
        <i val="0"/>
        <strike val="0"/>
        <condense val="0"/>
        <extend val="0"/>
        <outline val="0"/>
        <shadow val="0"/>
        <u val="none"/>
        <vertAlign val="baseline"/>
        <sz val="9"/>
        <color auto="1"/>
        <name val="Calibri"/>
        <scheme val="minor"/>
      </font>
      <fill>
        <patternFill patternType="solid">
          <fgColor indexed="64"/>
          <bgColor theme="0" tint="-0.14999847407452621"/>
        </patternFill>
      </fill>
      <alignment horizontal="right" vertical="bottom" textRotation="0" wrapText="0" justifyLastLine="0" shrinkToFit="0" readingOrder="0"/>
      <border outline="0">
        <right style="thin">
          <color rgb="FF7F7F7F"/>
        </right>
      </border>
      <protection locked="0" hidden="1"/>
    </dxf>
    <dxf>
      <font>
        <b val="0"/>
        <i val="0"/>
        <strike val="0"/>
        <condense val="0"/>
        <extend val="0"/>
        <outline val="0"/>
        <shadow val="0"/>
        <u val="none"/>
        <vertAlign val="baseline"/>
        <sz val="9"/>
        <color theme="1"/>
        <name val="Calibri"/>
        <scheme val="minor"/>
      </font>
      <protection locked="0" hidden="1"/>
    </dxf>
    <dxf>
      <font>
        <b val="0"/>
        <i val="0"/>
        <strike val="0"/>
        <condense val="0"/>
        <extend val="0"/>
        <outline val="0"/>
        <shadow val="0"/>
        <u val="none"/>
        <vertAlign val="baseline"/>
        <sz val="9"/>
        <color theme="1"/>
        <name val="Calibri"/>
        <scheme val="minor"/>
      </font>
      <protection locked="0" hidden="1"/>
    </dxf>
    <dxf>
      <font>
        <b val="0"/>
        <i val="0"/>
        <strike val="0"/>
        <condense val="0"/>
        <extend val="0"/>
        <outline val="0"/>
        <shadow val="0"/>
        <u val="none"/>
        <vertAlign val="baseline"/>
        <sz val="9"/>
        <color theme="1"/>
        <name val="Calibri"/>
        <scheme val="minor"/>
      </font>
      <numFmt numFmtId="165" formatCode="&quot;$&quot;#,##0"/>
      <fill>
        <patternFill patternType="solid">
          <fgColor indexed="64"/>
          <bgColor theme="0"/>
        </patternFill>
      </fill>
      <alignment horizontal="center" vertical="center"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0" hidden="1"/>
    </dxf>
    <dxf>
      <font>
        <strike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0" hidden="1"/>
    </dxf>
    <dxf>
      <font>
        <b val="0"/>
        <i val="0"/>
        <strike val="0"/>
        <condense val="0"/>
        <extend val="0"/>
        <outline val="0"/>
        <shadow val="0"/>
        <u val="none"/>
        <vertAlign val="baseline"/>
        <sz val="9"/>
        <color rgb="FF3F3F76"/>
        <name val="Calibri"/>
        <scheme val="minor"/>
      </font>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0" hidden="1"/>
    </dxf>
    <dxf>
      <font>
        <strike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0" hidden="1"/>
    </dxf>
    <dxf>
      <font>
        <strike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0" hidden="1"/>
    </dxf>
    <dxf>
      <font>
        <strike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0" hidden="1"/>
    </dxf>
    <dxf>
      <font>
        <b val="0"/>
        <i val="0"/>
        <strike val="0"/>
        <condense val="0"/>
        <extend val="0"/>
        <outline val="0"/>
        <shadow val="0"/>
        <u val="none"/>
        <vertAlign val="baseline"/>
        <sz val="9"/>
        <color auto="1"/>
        <name val="Calibri"/>
        <scheme val="minor"/>
      </font>
      <fill>
        <patternFill patternType="solid">
          <fgColor indexed="64"/>
          <bgColor theme="0" tint="-0.14999847407452621"/>
        </patternFill>
      </fill>
      <alignment horizontal="right" vertical="bottom" textRotation="0" wrapText="0" indent="0" justifyLastLine="0" shrinkToFit="0" readingOrder="0"/>
      <border diagonalUp="0" diagonalDown="0" outline="0">
        <left style="thin">
          <color rgb="FFB2B2B2"/>
        </left>
        <right style="thin">
          <color rgb="FFB2B2B2"/>
        </right>
        <top style="thin">
          <color rgb="FFB2B2B2"/>
        </top>
        <bottom style="thin">
          <color rgb="FFB2B2B2"/>
        </bottom>
      </border>
      <protection locked="0" hidden="1"/>
    </dxf>
    <dxf>
      <border outline="0">
        <left style="thin">
          <color theme="4"/>
        </left>
        <right style="thin">
          <color theme="4"/>
        </right>
        <top style="thin">
          <color theme="4"/>
        </top>
      </border>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protection locked="0" hidden="1"/>
    </dxf>
    <dxf>
      <font>
        <b/>
        <i val="0"/>
        <strike val="0"/>
        <condense val="0"/>
        <extend val="0"/>
        <outline val="0"/>
        <shadow val="0"/>
        <u val="none"/>
        <vertAlign val="baseline"/>
        <sz val="9"/>
        <color theme="0"/>
        <name val="Calibri"/>
        <scheme val="minor"/>
      </font>
      <fill>
        <patternFill patternType="solid">
          <fgColor theme="4"/>
          <bgColor theme="4"/>
        </patternFill>
      </fill>
      <alignment horizontal="center" vertical="bottom" textRotation="0" wrapText="0" indent="0" justifyLastLine="0" shrinkToFit="0" readingOrder="0"/>
      <protection locked="0" hidden="1"/>
    </dxf>
    <dxf>
      <font>
        <strike val="0"/>
        <outline val="0"/>
        <shadow val="0"/>
        <u val="none"/>
        <vertAlign val="baseline"/>
        <sz val="9"/>
        <color rgb="FF3F3F76"/>
        <name val="Calibri"/>
        <scheme val="minor"/>
      </font>
      <numFmt numFmtId="3" formatCode="#,##0"/>
      <fill>
        <patternFill patternType="solid">
          <fgColor indexed="64"/>
          <bgColor theme="0"/>
        </patternFill>
      </fill>
      <alignment horizontal="center" vertical="center"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0" hidden="1"/>
    </dxf>
    <dxf>
      <font>
        <strike val="0"/>
        <outline val="0"/>
        <shadow val="0"/>
        <u val="none"/>
        <vertAlign val="baseline"/>
        <sz val="9"/>
        <color rgb="FF3F3F76"/>
        <name val="Calibri"/>
        <scheme val="minor"/>
      </font>
      <numFmt numFmtId="3" formatCode="#,##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0" hidden="1"/>
    </dxf>
    <dxf>
      <font>
        <b val="0"/>
        <i val="0"/>
        <strike val="0"/>
        <condense val="0"/>
        <extend val="0"/>
        <outline val="0"/>
        <shadow val="0"/>
        <u val="none"/>
        <vertAlign val="baseline"/>
        <sz val="9"/>
        <color rgb="FF3F3F76"/>
        <name val="Calibri"/>
        <scheme val="minor"/>
      </font>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0" hidden="1"/>
    </dxf>
    <dxf>
      <font>
        <strike val="0"/>
        <outline val="0"/>
        <shadow val="0"/>
        <u val="none"/>
        <vertAlign val="baseline"/>
        <sz val="9"/>
        <color rgb="FF3F3F76"/>
        <name val="Calibri"/>
        <scheme val="minor"/>
      </font>
      <numFmt numFmtId="3" formatCode="#,##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0" hidden="1"/>
    </dxf>
    <dxf>
      <font>
        <strike val="0"/>
        <outline val="0"/>
        <shadow val="0"/>
        <u val="none"/>
        <vertAlign val="baseline"/>
        <sz val="9"/>
        <color rgb="FF3F3F76"/>
        <name val="Calibri"/>
        <scheme val="minor"/>
      </font>
      <numFmt numFmtId="3" formatCode="#,##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0" hidden="1"/>
    </dxf>
    <dxf>
      <font>
        <strike val="0"/>
        <outline val="0"/>
        <shadow val="0"/>
        <u val="none"/>
        <vertAlign val="baseline"/>
        <sz val="9"/>
        <color rgb="FF3F3F76"/>
        <name val="Calibri"/>
        <scheme val="minor"/>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0" hidden="1"/>
    </dxf>
    <dxf>
      <font>
        <b val="0"/>
        <i val="0"/>
        <strike val="0"/>
        <condense val="0"/>
        <extend val="0"/>
        <outline val="0"/>
        <shadow val="0"/>
        <u val="none"/>
        <vertAlign val="baseline"/>
        <sz val="9"/>
        <color auto="1"/>
        <name val="Calibri"/>
        <scheme val="minor"/>
      </font>
      <fill>
        <patternFill patternType="solid">
          <fgColor indexed="64"/>
          <bgColor theme="0" tint="-0.14999847407452621"/>
        </patternFill>
      </fill>
      <alignment horizontal="right" vertical="bottom" textRotation="0" wrapText="0" indent="0" justifyLastLine="0" shrinkToFit="0" readingOrder="0"/>
      <border diagonalUp="0" diagonalDown="0" outline="0">
        <left style="thin">
          <color rgb="FFB2B2B2"/>
        </left>
        <right style="thin">
          <color rgb="FFB2B2B2"/>
        </right>
        <top style="thin">
          <color rgb="FFB2B2B2"/>
        </top>
        <bottom style="thin">
          <color rgb="FFB2B2B2"/>
        </bottom>
      </border>
      <protection locked="0" hidden="1"/>
    </dxf>
    <dxf>
      <font>
        <strike val="0"/>
        <outline val="0"/>
        <shadow val="0"/>
        <u val="none"/>
        <vertAlign val="baseline"/>
        <sz val="9"/>
        <name val="Calibri"/>
        <scheme val="minor"/>
      </font>
      <alignment horizontal="center" vertical="center" textRotation="0" wrapText="0" indent="0" justifyLastLine="0" shrinkToFit="0" readingOrder="0"/>
      <protection locked="0" hidden="1"/>
    </dxf>
    <dxf>
      <font>
        <b/>
        <i val="0"/>
        <strike val="0"/>
        <condense val="0"/>
        <extend val="0"/>
        <outline val="0"/>
        <shadow val="0"/>
        <u val="none"/>
        <vertAlign val="baseline"/>
        <sz val="9"/>
        <color theme="0"/>
        <name val="Calibri"/>
        <scheme val="minor"/>
      </font>
      <fill>
        <patternFill patternType="solid">
          <fgColor theme="4"/>
          <bgColor theme="4"/>
        </patternFill>
      </fill>
      <alignment horizontal="right" vertical="bottom" textRotation="0" wrapText="0" indent="0" justifyLastLine="0" shrinkToFit="0" readingOrder="0"/>
      <protection locked="0" hidden="1"/>
    </dxf>
    <dxf>
      <font>
        <b val="0"/>
        <i val="0"/>
        <strike val="0"/>
        <condense val="0"/>
        <extend val="0"/>
        <outline val="0"/>
        <shadow val="0"/>
        <u val="none"/>
        <vertAlign val="baseline"/>
        <sz val="9"/>
        <color theme="1"/>
        <name val="Calibri"/>
        <scheme val="minor"/>
      </font>
      <numFmt numFmtId="165" formatCode="&quot;$&quot;#,##0"/>
      <fill>
        <patternFill patternType="solid">
          <fgColor indexed="64"/>
          <bgColor theme="0"/>
        </patternFill>
      </fill>
      <alignment horizontal="center" vertical="center"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0" hidden="1"/>
    </dxf>
    <dxf>
      <font>
        <strike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0" hidden="1"/>
    </dxf>
    <dxf>
      <font>
        <b val="0"/>
        <i val="0"/>
        <strike val="0"/>
        <condense val="0"/>
        <extend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0" hidden="1"/>
    </dxf>
    <dxf>
      <font>
        <strike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0" hidden="1"/>
    </dxf>
    <dxf>
      <font>
        <strike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0" hidden="1"/>
    </dxf>
    <dxf>
      <font>
        <strike val="0"/>
        <outline val="0"/>
        <shadow val="0"/>
        <u val="none"/>
        <vertAlign val="baseline"/>
        <sz val="9"/>
        <color rgb="FF3F3F76"/>
        <name val="Calibri"/>
        <scheme val="minor"/>
      </font>
      <numFmt numFmtId="165" formatCode="&quot;$&quot;#,##0"/>
      <fill>
        <patternFill patternType="solid">
          <fgColor indexed="64"/>
          <bgColor theme="0"/>
        </patternFill>
      </fill>
      <alignment horizontal="center" vertical="bottom" textRotation="0" wrapText="0" indent="0" justifyLastLine="0" shrinkToFit="0" readingOrder="0"/>
      <border diagonalUp="0" diagonalDown="0" outline="0">
        <left style="thin">
          <color rgb="FF7F7F7F"/>
        </left>
        <right style="thin">
          <color rgb="FF7F7F7F"/>
        </right>
        <top style="thin">
          <color rgb="FF7F7F7F"/>
        </top>
        <bottom style="thin">
          <color rgb="FF7F7F7F"/>
        </bottom>
      </border>
      <protection locked="0" hidden="1"/>
    </dxf>
    <dxf>
      <font>
        <strike val="0"/>
        <outline val="0"/>
        <shadow val="0"/>
        <u val="none"/>
        <vertAlign val="baseline"/>
        <sz val="9"/>
        <color auto="1"/>
        <name val="Calibri"/>
        <scheme val="minor"/>
      </font>
      <fill>
        <patternFill patternType="solid">
          <fgColor indexed="64"/>
          <bgColor theme="0" tint="-0.14999847407452621"/>
        </patternFill>
      </fill>
      <alignment horizontal="right" vertical="bottom" textRotation="0" wrapText="1" indent="0" justifyLastLine="0" shrinkToFit="0" readingOrder="0"/>
      <border diagonalUp="0" diagonalDown="0" outline="0">
        <left style="thin">
          <color rgb="FFB2B2B2"/>
        </left>
        <right style="thin">
          <color rgb="FFB2B2B2"/>
        </right>
        <top style="thin">
          <color rgb="FFB2B2B2"/>
        </top>
        <bottom style="thin">
          <color rgb="FFB2B2B2"/>
        </bottom>
      </border>
      <protection locked="0" hidden="1"/>
    </dxf>
    <dxf>
      <font>
        <b val="0"/>
        <i val="0"/>
        <strike val="0"/>
        <condense val="0"/>
        <extend val="0"/>
        <outline val="0"/>
        <shadow val="0"/>
        <u val="none"/>
        <vertAlign val="baseline"/>
        <sz val="9"/>
        <color theme="1"/>
        <name val="Calibri"/>
        <scheme val="minor"/>
      </font>
      <alignment horizontal="right" vertical="center" textRotation="0" wrapText="0" indent="0" justifyLastLine="0" shrinkToFit="0" readingOrder="0"/>
      <protection locked="0" hidden="1"/>
    </dxf>
    <dxf>
      <font>
        <strike val="0"/>
        <outline val="0"/>
        <shadow val="0"/>
        <u val="none"/>
        <vertAlign val="baseline"/>
        <sz val="9"/>
        <color theme="1"/>
        <name val="Calibri"/>
        <scheme val="minor"/>
      </font>
      <alignment horizontal="right" vertical="bottom" textRotation="0" wrapText="0" indent="0" justifyLastLine="0" shrinkToFit="0" readingOrder="0"/>
      <protection locked="0" hidden="1"/>
    </dxf>
  </dxfs>
  <tableStyles count="0" defaultTableStyle="TableStyleMedium2" defaultPivotStyle="PivotStyleLight16"/>
  <colors>
    <mruColors>
      <color rgb="FFBC005D"/>
      <color rgb="FFC66969"/>
      <color rgb="FFDD6520"/>
      <color rgb="FFCCCC00"/>
      <color rgb="FF89B1D6"/>
      <color rgb="FF8FB7DC"/>
      <color rgb="FF265985"/>
      <color rgb="FF053558"/>
      <color rgb="FF1589CE"/>
      <color rgb="FF9034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1884956103114601E-2"/>
          <c:y val="3.71736082906442E-2"/>
          <c:w val="0.88299392273952304"/>
          <c:h val="0.89322022351199404"/>
        </c:manualLayout>
      </c:layout>
      <c:scatterChart>
        <c:scatterStyle val="lineMarker"/>
        <c:varyColors val="0"/>
        <c:ser>
          <c:idx val="5"/>
          <c:order val="0"/>
          <c:tx>
            <c:strRef>
              <c:f>SVM!$B$49</c:f>
              <c:strCache>
                <c:ptCount val="1"/>
                <c:pt idx="0">
                  <c:v>Cisco FirePOWER 8350</c:v>
                </c:pt>
              </c:strCache>
            </c:strRef>
          </c:tx>
          <c:spPr>
            <a:ln w="28575">
              <a:noFill/>
            </a:ln>
          </c:spPr>
          <c:xVal>
            <c:numRef>
              <c:f>SVM!$J$49</c:f>
              <c:numCache>
                <c:formatCode>"$"#,##0_);\("$"#,##0\)</c:formatCode>
                <c:ptCount val="1"/>
                <c:pt idx="0">
                  <c:v>16</c:v>
                </c:pt>
              </c:numCache>
            </c:numRef>
          </c:xVal>
          <c:yVal>
            <c:numRef>
              <c:f>SVM!$I$49</c:f>
              <c:numCache>
                <c:formatCode>0.0%</c:formatCode>
                <c:ptCount val="1"/>
                <c:pt idx="0">
                  <c:v>0.99518408324552166</c:v>
                </c:pt>
              </c:numCache>
            </c:numRef>
          </c:yVal>
          <c:smooth val="0"/>
        </c:ser>
        <c:ser>
          <c:idx val="6"/>
          <c:order val="1"/>
          <c:tx>
            <c:strRef>
              <c:f>SVM!$B$50</c:f>
              <c:strCache>
                <c:ptCount val="1"/>
                <c:pt idx="0">
                  <c:v>Fortinet FortiGate-1500D</c:v>
                </c:pt>
              </c:strCache>
            </c:strRef>
          </c:tx>
          <c:spPr>
            <a:ln w="12700">
              <a:noFill/>
            </a:ln>
          </c:spPr>
          <c:xVal>
            <c:numRef>
              <c:f>SVM!$J$50</c:f>
              <c:numCache>
                <c:formatCode>"$"#,##0_);\("$"#,##0\)</c:formatCode>
                <c:ptCount val="1"/>
                <c:pt idx="0">
                  <c:v>5</c:v>
                </c:pt>
              </c:numCache>
            </c:numRef>
          </c:xVal>
          <c:yVal>
            <c:numRef>
              <c:f>SVM!$I$50</c:f>
              <c:numCache>
                <c:formatCode>0.0%</c:formatCode>
                <c:ptCount val="1"/>
                <c:pt idx="0">
                  <c:v>0.99160531305383703</c:v>
                </c:pt>
              </c:numCache>
            </c:numRef>
          </c:yVal>
          <c:smooth val="0"/>
        </c:ser>
        <c:ser>
          <c:idx val="7"/>
          <c:order val="2"/>
          <c:tx>
            <c:strRef>
              <c:f>SVM!$B$51</c:f>
              <c:strCache>
                <c:ptCount val="1"/>
                <c:pt idx="0">
                  <c:v>HP TippingPoint S7500NX</c:v>
                </c:pt>
              </c:strCache>
            </c:strRef>
          </c:tx>
          <c:spPr>
            <a:ln w="28575">
              <a:noFill/>
            </a:ln>
          </c:spPr>
          <c:xVal>
            <c:numRef>
              <c:f>SVM!$J$51</c:f>
              <c:numCache>
                <c:formatCode>"$"#,##0_);\("$"#,##0\)</c:formatCode>
                <c:ptCount val="1"/>
                <c:pt idx="0">
                  <c:v>20</c:v>
                </c:pt>
              </c:numCache>
            </c:numRef>
          </c:xVal>
          <c:yVal>
            <c:numRef>
              <c:f>SVM!$I$51</c:f>
              <c:numCache>
                <c:formatCode>0.0%</c:formatCode>
                <c:ptCount val="1"/>
                <c:pt idx="0">
                  <c:v>0.86619640834260148</c:v>
                </c:pt>
              </c:numCache>
            </c:numRef>
          </c:yVal>
          <c:smooth val="0"/>
        </c:ser>
        <c:ser>
          <c:idx val="8"/>
          <c:order val="3"/>
          <c:tx>
            <c:strRef>
              <c:f>SVM!$B$52</c:f>
              <c:strCache>
                <c:ptCount val="1"/>
                <c:pt idx="0">
                  <c:v>IBM Security Network Protection XGS 5100</c:v>
                </c:pt>
              </c:strCache>
            </c:strRef>
          </c:tx>
          <c:spPr>
            <a:ln>
              <a:solidFill>
                <a:srgbClr val="F79646">
                  <a:lumMod val="75000"/>
                </a:srgbClr>
              </a:solidFill>
            </a:ln>
          </c:spPr>
          <c:xVal>
            <c:numRef>
              <c:f>SVM!$J$52</c:f>
              <c:numCache>
                <c:formatCode>"$"#,##0_);\("$"#,##0\)</c:formatCode>
                <c:ptCount val="1"/>
                <c:pt idx="0">
                  <c:v>20</c:v>
                </c:pt>
              </c:numCache>
            </c:numRef>
          </c:xVal>
          <c:yVal>
            <c:numRef>
              <c:f>SVM!$I$52</c:f>
              <c:numCache>
                <c:formatCode>0.0%</c:formatCode>
                <c:ptCount val="1"/>
                <c:pt idx="0">
                  <c:v>0.96755286090621706</c:v>
                </c:pt>
              </c:numCache>
            </c:numRef>
          </c:yVal>
          <c:smooth val="0"/>
        </c:ser>
        <c:ser>
          <c:idx val="12"/>
          <c:order val="4"/>
          <c:tx>
            <c:strRef>
              <c:f>SVM!$B$53</c:f>
              <c:strCache>
                <c:ptCount val="1"/>
                <c:pt idx="0">
                  <c:v>IBM Security Network Protection XGS 7100</c:v>
                </c:pt>
              </c:strCache>
            </c:strRef>
          </c:tx>
          <c:spPr>
            <a:ln w="28575">
              <a:gradFill>
                <a:gsLst>
                  <a:gs pos="0">
                    <a:srgbClr val="4F81BD">
                      <a:lumMod val="5000"/>
                      <a:lumOff val="95000"/>
                    </a:srgbClr>
                  </a:gs>
                  <a:gs pos="74000">
                    <a:srgbClr val="4F81BD">
                      <a:lumMod val="45000"/>
                      <a:lumOff val="55000"/>
                    </a:srgbClr>
                  </a:gs>
                  <a:gs pos="83000">
                    <a:srgbClr val="4F81BD">
                      <a:lumMod val="45000"/>
                      <a:lumOff val="55000"/>
                    </a:srgbClr>
                  </a:gs>
                  <a:gs pos="100000">
                    <a:srgbClr val="4F81BD">
                      <a:lumMod val="30000"/>
                      <a:lumOff val="70000"/>
                    </a:srgbClr>
                  </a:gs>
                </a:gsLst>
                <a:lin ang="5400000" scaled="1"/>
              </a:gradFill>
              <a:round/>
            </a:ln>
            <a:effectLst>
              <a:outerShdw blurRad="50800" dist="50800" dir="5400000" algn="ctr" rotWithShape="0">
                <a:sysClr val="window" lastClr="FFFFFF"/>
              </a:outerShdw>
            </a:effectLst>
          </c:spPr>
          <c:dPt>
            <c:idx val="0"/>
            <c:bubble3D val="0"/>
            <c:spPr>
              <a:ln w="28575">
                <a:noFill/>
                <a:round/>
              </a:ln>
              <a:effectLst>
                <a:outerShdw blurRad="50800" dist="50800" dir="5400000" algn="ctr" rotWithShape="0">
                  <a:sysClr val="window" lastClr="FFFFFF"/>
                </a:outerShdw>
              </a:effectLst>
            </c:spPr>
          </c:dPt>
          <c:xVal>
            <c:numRef>
              <c:f>SVM!$J$53</c:f>
              <c:numCache>
                <c:formatCode>"$"#,##0_);\("$"#,##0\)</c:formatCode>
                <c:ptCount val="1"/>
                <c:pt idx="0">
                  <c:v>20</c:v>
                </c:pt>
              </c:numCache>
            </c:numRef>
          </c:xVal>
          <c:yVal>
            <c:numRef>
              <c:f>SVM!$I$53</c:f>
              <c:numCache>
                <c:formatCode>0.0%</c:formatCode>
                <c:ptCount val="1"/>
                <c:pt idx="0">
                  <c:v>0.96755286090621706</c:v>
                </c:pt>
              </c:numCache>
            </c:numRef>
          </c:yVal>
          <c:smooth val="0"/>
        </c:ser>
        <c:ser>
          <c:idx val="13"/>
          <c:order val="5"/>
          <c:tx>
            <c:strRef>
              <c:f>SVM!$B$54</c:f>
              <c:strCache>
                <c:ptCount val="1"/>
                <c:pt idx="0">
                  <c:v>Palo Alto Networks PA-5020</c:v>
                </c:pt>
              </c:strCache>
            </c:strRef>
          </c:tx>
          <c:spPr>
            <a:ln>
              <a:noFill/>
            </a:ln>
          </c:spPr>
          <c:xVal>
            <c:numRef>
              <c:f>SVM!$J$54</c:f>
              <c:numCache>
                <c:formatCode>"$"#,##0_);\("$"#,##0\)</c:formatCode>
                <c:ptCount val="1"/>
                <c:pt idx="0">
                  <c:v>25</c:v>
                </c:pt>
              </c:numCache>
            </c:numRef>
          </c:xVal>
          <c:yVal>
            <c:numRef>
              <c:f>SVM!$I$54</c:f>
              <c:numCache>
                <c:formatCode>0.0%</c:formatCode>
                <c:ptCount val="1"/>
                <c:pt idx="0">
                  <c:v>0.987881981032666</c:v>
                </c:pt>
              </c:numCache>
            </c:numRef>
          </c:yVal>
          <c:smooth val="0"/>
        </c:ser>
        <c:ser>
          <c:idx val="14"/>
          <c:order val="6"/>
          <c:tx>
            <c:v>Average Protection</c:v>
          </c:tx>
          <c:spPr>
            <a:ln w="19050">
              <a:solidFill>
                <a:srgbClr val="C0504D"/>
              </a:solidFill>
              <a:prstDash val="dash"/>
            </a:ln>
          </c:spPr>
          <c:xVal>
            <c:numRef>
              <c:f>(SVM!$C$57,SVM!$G$57)</c:f>
              <c:numCache>
                <c:formatCode>_("$"* #,##0_);_("$"* \(#,##0\);_("$"* "-"??_);_(@_)</c:formatCode>
                <c:ptCount val="2"/>
                <c:pt idx="0" formatCode="_(&quot;$&quot;* #,##0.00_);_(&quot;$&quot;* \(#,##0.00\);_(&quot;$&quot;* &quot;-&quot;??_);_(@_)">
                  <c:v>0</c:v>
                </c:pt>
                <c:pt idx="1">
                  <c:v>31.25</c:v>
                </c:pt>
              </c:numCache>
            </c:numRef>
          </c:xVal>
          <c:yVal>
            <c:numRef>
              <c:f>(SVM!$G$56,SVM!$C$56)</c:f>
              <c:numCache>
                <c:formatCode>0.0%</c:formatCode>
                <c:ptCount val="2"/>
                <c:pt idx="0">
                  <c:v>0.96266225124784344</c:v>
                </c:pt>
                <c:pt idx="1">
                  <c:v>0.96266225124784344</c:v>
                </c:pt>
              </c:numCache>
            </c:numRef>
          </c:yVal>
          <c:smooth val="0"/>
        </c:ser>
        <c:ser>
          <c:idx val="15"/>
          <c:order val="7"/>
          <c:tx>
            <c:v>Average</c:v>
          </c:tx>
          <c:spPr>
            <a:ln w="19050">
              <a:solidFill>
                <a:srgbClr val="C66969"/>
              </a:solidFill>
              <a:prstDash val="dash"/>
            </a:ln>
          </c:spPr>
          <c:xVal>
            <c:numRef>
              <c:f>(SVM!$D$56,SVM!$H$56)</c:f>
              <c:numCache>
                <c:formatCode>"$"#,##0_);\("$"#,##0\)</c:formatCode>
                <c:ptCount val="2"/>
                <c:pt idx="0">
                  <c:v>20</c:v>
                </c:pt>
                <c:pt idx="1">
                  <c:v>20</c:v>
                </c:pt>
              </c:numCache>
            </c:numRef>
          </c:xVal>
          <c:yVal>
            <c:numRef>
              <c:f>(SVM!$D$57,SVM!$H$57)</c:f>
              <c:numCache>
                <c:formatCode>0%</c:formatCode>
                <c:ptCount val="2"/>
                <c:pt idx="0">
                  <c:v>0.8</c:v>
                </c:pt>
                <c:pt idx="1">
                  <c:v>1</c:v>
                </c:pt>
              </c:numCache>
            </c:numRef>
          </c:yVal>
          <c:smooth val="0"/>
        </c:ser>
        <c:ser>
          <c:idx val="3"/>
          <c:order val="8"/>
          <c:tx>
            <c:strRef>
              <c:f>SVM!$B$49</c:f>
              <c:strCache>
                <c:ptCount val="1"/>
                <c:pt idx="0">
                  <c:v>Cisco FirePOWER 8350</c:v>
                </c:pt>
              </c:strCache>
            </c:strRef>
          </c:tx>
          <c:spPr>
            <a:ln w="28575">
              <a:noFill/>
            </a:ln>
          </c:spPr>
          <c:marker>
            <c:symbol val="circle"/>
            <c:size val="9"/>
            <c:spPr>
              <a:solidFill>
                <a:srgbClr val="1F497D"/>
              </a:solidFill>
              <a:ln>
                <a:no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SVM!$J$49</c:f>
              <c:numCache>
                <c:formatCode>"$"#,##0_);\("$"#,##0\)</c:formatCode>
                <c:ptCount val="1"/>
                <c:pt idx="0">
                  <c:v>16</c:v>
                </c:pt>
              </c:numCache>
            </c:numRef>
          </c:xVal>
          <c:yVal>
            <c:numRef>
              <c:f>SVM!$I$49</c:f>
              <c:numCache>
                <c:formatCode>0.0%</c:formatCode>
                <c:ptCount val="1"/>
                <c:pt idx="0">
                  <c:v>0.99518408324552166</c:v>
                </c:pt>
              </c:numCache>
            </c:numRef>
          </c:yVal>
          <c:smooth val="0"/>
        </c:ser>
        <c:ser>
          <c:idx val="0"/>
          <c:order val="9"/>
          <c:tx>
            <c:strRef>
              <c:f>SVM!$B$50</c:f>
              <c:strCache>
                <c:ptCount val="1"/>
                <c:pt idx="0">
                  <c:v>Fortinet FortiGate-1500D</c:v>
                </c:pt>
              </c:strCache>
            </c:strRef>
          </c:tx>
          <c:spPr>
            <a:ln w="12700">
              <a:noFill/>
            </a:ln>
          </c:spPr>
          <c:marker>
            <c:symbol val="circle"/>
            <c:size val="9"/>
            <c:spPr>
              <a:solidFill>
                <a:srgbClr val="1F497D"/>
              </a:solidFill>
              <a:ln w="15875">
                <a:noFill/>
              </a:ln>
            </c:spPr>
          </c:marker>
          <c:dPt>
            <c:idx val="0"/>
            <c:bubble3D val="0"/>
          </c:dPt>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SVM!$J$50</c:f>
              <c:numCache>
                <c:formatCode>"$"#,##0_);\("$"#,##0\)</c:formatCode>
                <c:ptCount val="1"/>
                <c:pt idx="0">
                  <c:v>5</c:v>
                </c:pt>
              </c:numCache>
            </c:numRef>
          </c:xVal>
          <c:yVal>
            <c:numRef>
              <c:f>SVM!$I$50</c:f>
              <c:numCache>
                <c:formatCode>0.0%</c:formatCode>
                <c:ptCount val="1"/>
                <c:pt idx="0">
                  <c:v>0.99160531305383703</c:v>
                </c:pt>
              </c:numCache>
            </c:numRef>
          </c:yVal>
          <c:smooth val="0"/>
        </c:ser>
        <c:ser>
          <c:idx val="4"/>
          <c:order val="10"/>
          <c:tx>
            <c:strRef>
              <c:f>SVM!$B$51</c:f>
              <c:strCache>
                <c:ptCount val="1"/>
                <c:pt idx="0">
                  <c:v>HP TippingPoint S7500NX</c:v>
                </c:pt>
              </c:strCache>
            </c:strRef>
          </c:tx>
          <c:spPr>
            <a:ln w="28575">
              <a:noFill/>
            </a:ln>
          </c:spPr>
          <c:marker>
            <c:symbol val="circle"/>
            <c:size val="9"/>
            <c:spPr>
              <a:solidFill>
                <a:srgbClr val="1F497D"/>
              </a:solidFill>
              <a:ln>
                <a:noFill/>
              </a:ln>
            </c:spPr>
          </c:marker>
          <c:dLbls>
            <c:spPr>
              <a:noFill/>
              <a:ln>
                <a:noFill/>
              </a:ln>
              <a:effectLst/>
            </c:spPr>
            <c:dLblPos val="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SVM!$J$51</c:f>
              <c:numCache>
                <c:formatCode>"$"#,##0_);\("$"#,##0\)</c:formatCode>
                <c:ptCount val="1"/>
                <c:pt idx="0">
                  <c:v>20</c:v>
                </c:pt>
              </c:numCache>
            </c:numRef>
          </c:xVal>
          <c:yVal>
            <c:numRef>
              <c:f>SVM!$I$51</c:f>
              <c:numCache>
                <c:formatCode>0.0%</c:formatCode>
                <c:ptCount val="1"/>
                <c:pt idx="0">
                  <c:v>0.86619640834260148</c:v>
                </c:pt>
              </c:numCache>
            </c:numRef>
          </c:yVal>
          <c:smooth val="0"/>
        </c:ser>
        <c:ser>
          <c:idx val="1"/>
          <c:order val="11"/>
          <c:tx>
            <c:strRef>
              <c:f>SVM!$B$52</c:f>
              <c:strCache>
                <c:ptCount val="1"/>
                <c:pt idx="0">
                  <c:v>IBM Security Network Protection XGS 5100</c:v>
                </c:pt>
              </c:strCache>
            </c:strRef>
          </c:tx>
          <c:spPr>
            <a:ln>
              <a:solidFill>
                <a:srgbClr val="F79646">
                  <a:lumMod val="75000"/>
                </a:srgbClr>
              </a:solidFill>
            </a:ln>
          </c:spPr>
          <c:marker>
            <c:symbol val="circle"/>
            <c:size val="9"/>
            <c:spPr>
              <a:solidFill>
                <a:srgbClr val="1F497D"/>
              </a:solidFill>
              <a:ln w="12700">
                <a:noFill/>
              </a:ln>
            </c:spPr>
          </c:marker>
          <c:xVal>
            <c:numRef>
              <c:f>SVM!$J$52</c:f>
              <c:numCache>
                <c:formatCode>"$"#,##0_);\("$"#,##0\)</c:formatCode>
                <c:ptCount val="1"/>
                <c:pt idx="0">
                  <c:v>20</c:v>
                </c:pt>
              </c:numCache>
            </c:numRef>
          </c:xVal>
          <c:yVal>
            <c:numRef>
              <c:f>SVM!$I$52</c:f>
              <c:numCache>
                <c:formatCode>0.0%</c:formatCode>
                <c:ptCount val="1"/>
                <c:pt idx="0">
                  <c:v>0.96755286090621706</c:v>
                </c:pt>
              </c:numCache>
            </c:numRef>
          </c:yVal>
          <c:smooth val="0"/>
        </c:ser>
        <c:ser>
          <c:idx val="2"/>
          <c:order val="12"/>
          <c:tx>
            <c:strRef>
              <c:f>SVM!$B$53</c:f>
              <c:strCache>
                <c:ptCount val="1"/>
                <c:pt idx="0">
                  <c:v>IBM Security Network Protection XGS 7100</c:v>
                </c:pt>
              </c:strCache>
            </c:strRef>
          </c:tx>
          <c:spPr>
            <a:ln w="28575">
              <a:gradFill>
                <a:gsLst>
                  <a:gs pos="0">
                    <a:srgbClr val="4F81BD">
                      <a:lumMod val="5000"/>
                      <a:lumOff val="95000"/>
                    </a:srgbClr>
                  </a:gs>
                  <a:gs pos="74000">
                    <a:srgbClr val="4F81BD">
                      <a:lumMod val="45000"/>
                      <a:lumOff val="55000"/>
                    </a:srgbClr>
                  </a:gs>
                  <a:gs pos="83000">
                    <a:srgbClr val="4F81BD">
                      <a:lumMod val="45000"/>
                      <a:lumOff val="55000"/>
                    </a:srgbClr>
                  </a:gs>
                  <a:gs pos="100000">
                    <a:srgbClr val="4F81BD">
                      <a:lumMod val="30000"/>
                      <a:lumOff val="70000"/>
                    </a:srgbClr>
                  </a:gs>
                </a:gsLst>
                <a:lin ang="5400000" scaled="1"/>
              </a:gradFill>
              <a:round/>
            </a:ln>
            <a:effectLst>
              <a:outerShdw blurRad="50800" dist="50800" dir="5400000" algn="ctr" rotWithShape="0">
                <a:sysClr val="window" lastClr="FFFFFF"/>
              </a:outerShdw>
            </a:effectLst>
          </c:spPr>
          <c:marker>
            <c:symbol val="circle"/>
            <c:size val="9"/>
            <c:spPr>
              <a:solidFill>
                <a:srgbClr val="1F497D"/>
              </a:solidFill>
              <a:ln>
                <a:noFill/>
              </a:ln>
            </c:spPr>
          </c:marker>
          <c:dPt>
            <c:idx val="0"/>
            <c:bubble3D val="0"/>
            <c:spPr>
              <a:ln w="28575">
                <a:noFill/>
                <a:round/>
              </a:ln>
              <a:effectLst>
                <a:outerShdw blurRad="50800" dist="50800" dir="5400000" algn="ctr" rotWithShape="0">
                  <a:sysClr val="window" lastClr="FFFFFF"/>
                </a:outerShdw>
              </a:effectLst>
            </c:spPr>
          </c:dPt>
          <c:dLbls>
            <c:dLbl>
              <c:idx val="0"/>
              <c:layout/>
              <c:tx>
                <c:rich>
                  <a:bodyPr wrap="square" lIns="38100" tIns="19050" rIns="38100" bIns="19050" anchor="ctr">
                    <a:noAutofit/>
                  </a:bodyPr>
                  <a:lstStyle/>
                  <a:p>
                    <a:pPr>
                      <a:defRPr/>
                    </a:pPr>
                    <a:r>
                      <a:rPr lang="en-US"/>
                      <a:t>IBM Security Network Protection XGS 5100</a:t>
                    </a:r>
                  </a:p>
                </c:rich>
              </c:tx>
              <c:spPr>
                <a:noFill/>
                <a:ln>
                  <a:noFill/>
                </a:ln>
                <a:effectLst/>
              </c:sp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2128485594240027"/>
                      <c:h val="3.0065338549507024E-2"/>
                    </c:manualLayout>
                  </c15:layout>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trendlineType val="linear"/>
            <c:dispRSqr val="0"/>
            <c:dispEq val="0"/>
          </c:trendline>
          <c:xVal>
            <c:numRef>
              <c:f>SVM!$J$53</c:f>
              <c:numCache>
                <c:formatCode>"$"#,##0_);\("$"#,##0\)</c:formatCode>
                <c:ptCount val="1"/>
                <c:pt idx="0">
                  <c:v>20</c:v>
                </c:pt>
              </c:numCache>
            </c:numRef>
          </c:xVal>
          <c:yVal>
            <c:numRef>
              <c:f>SVM!$I$53</c:f>
              <c:numCache>
                <c:formatCode>0.0%</c:formatCode>
                <c:ptCount val="1"/>
                <c:pt idx="0">
                  <c:v>0.96755286090621706</c:v>
                </c:pt>
              </c:numCache>
            </c:numRef>
          </c:yVal>
          <c:smooth val="0"/>
        </c:ser>
        <c:ser>
          <c:idx val="9"/>
          <c:order val="13"/>
          <c:tx>
            <c:strRef>
              <c:f>SVM!$B$54</c:f>
              <c:strCache>
                <c:ptCount val="1"/>
                <c:pt idx="0">
                  <c:v>Palo Alto Networks PA-5020</c:v>
                </c:pt>
              </c:strCache>
            </c:strRef>
          </c:tx>
          <c:spPr>
            <a:ln>
              <a:noFill/>
            </a:ln>
          </c:spPr>
          <c:marker>
            <c:symbol val="circle"/>
            <c:size val="9"/>
            <c:spPr>
              <a:solidFill>
                <a:srgbClr val="1F497D"/>
              </a:solidFill>
              <a:ln w="15875">
                <a:noFill/>
              </a:ln>
            </c:spPr>
          </c:marker>
          <c:dLbls>
            <c:spPr>
              <a:noFill/>
              <a:ln>
                <a:noFill/>
              </a:ln>
              <a:effectLst/>
            </c:spPr>
            <c:dLblPos val="t"/>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SVM!$J$54</c:f>
              <c:numCache>
                <c:formatCode>"$"#,##0_);\("$"#,##0\)</c:formatCode>
                <c:ptCount val="1"/>
                <c:pt idx="0">
                  <c:v>25</c:v>
                </c:pt>
              </c:numCache>
            </c:numRef>
          </c:xVal>
          <c:yVal>
            <c:numRef>
              <c:f>SVM!$I$54</c:f>
              <c:numCache>
                <c:formatCode>0.0%</c:formatCode>
                <c:ptCount val="1"/>
                <c:pt idx="0">
                  <c:v>0.987881981032666</c:v>
                </c:pt>
              </c:numCache>
            </c:numRef>
          </c:yVal>
          <c:smooth val="0"/>
        </c:ser>
        <c:ser>
          <c:idx val="10"/>
          <c:order val="14"/>
          <c:tx>
            <c:v>Average Protection</c:v>
          </c:tx>
          <c:spPr>
            <a:ln w="19050">
              <a:solidFill>
                <a:srgbClr val="C0504D"/>
              </a:solidFill>
              <a:prstDash val="dash"/>
            </a:ln>
          </c:spPr>
          <c:marker>
            <c:symbol val="none"/>
          </c:marker>
          <c:dLbls>
            <c:dLbl>
              <c:idx val="0"/>
              <c:layout>
                <c:manualLayout>
                  <c:x val="-5.23999471851785E-2"/>
                  <c:y val="1.4185110102144001E-2"/>
                </c:manualLayout>
              </c:layout>
              <c:tx>
                <c:rich>
                  <a:bodyPr/>
                  <a:lstStyle/>
                  <a:p>
                    <a:r>
                      <a:rPr lang="en-US">
                        <a:solidFill>
                          <a:srgbClr val="CA0000"/>
                        </a:solidFill>
                      </a:rPr>
                      <a:t>Average</a:t>
                    </a:r>
                  </a:p>
                </c:rich>
              </c:tx>
              <c:dLblPos val="r"/>
              <c:showLegendKey val="0"/>
              <c:showVal val="0"/>
              <c:showCatName val="0"/>
              <c:showSerName val="1"/>
              <c:showPercent val="0"/>
              <c:showBubbleSize val="0"/>
              <c:extLst>
                <c:ext xmlns:c15="http://schemas.microsoft.com/office/drawing/2012/chart" uri="{CE6537A1-D6FC-4f65-9D91-7224C49458BB}">
                  <c15:layout/>
                </c:ext>
              </c:extLst>
            </c:dLbl>
            <c:dLbl>
              <c:idx val="1"/>
              <c:delete val="1"/>
              <c:extLst>
                <c:ext xmlns:c15="http://schemas.microsoft.com/office/drawing/2012/chart" uri="{CE6537A1-D6FC-4f65-9D91-7224C49458BB}"/>
              </c:extLst>
            </c:dLbl>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(SVM!$C$57,SVM!$G$57)</c:f>
              <c:numCache>
                <c:formatCode>_("$"* #,##0_);_("$"* \(#,##0\);_("$"* "-"??_);_(@_)</c:formatCode>
                <c:ptCount val="2"/>
                <c:pt idx="0" formatCode="_(&quot;$&quot;* #,##0.00_);_(&quot;$&quot;* \(#,##0.00\);_(&quot;$&quot;* &quot;-&quot;??_);_(@_)">
                  <c:v>0</c:v>
                </c:pt>
                <c:pt idx="1">
                  <c:v>31.25</c:v>
                </c:pt>
              </c:numCache>
            </c:numRef>
          </c:xVal>
          <c:yVal>
            <c:numRef>
              <c:f>(SVM!$G$56,SVM!$C$56)</c:f>
              <c:numCache>
                <c:formatCode>0.0%</c:formatCode>
                <c:ptCount val="2"/>
                <c:pt idx="0">
                  <c:v>0.96266225124784344</c:v>
                </c:pt>
                <c:pt idx="1">
                  <c:v>0.96266225124784344</c:v>
                </c:pt>
              </c:numCache>
            </c:numRef>
          </c:yVal>
          <c:smooth val="1"/>
        </c:ser>
        <c:ser>
          <c:idx val="11"/>
          <c:order val="15"/>
          <c:tx>
            <c:v>Average</c:v>
          </c:tx>
          <c:spPr>
            <a:ln w="19050">
              <a:solidFill>
                <a:srgbClr val="C66969"/>
              </a:solidFill>
              <a:prstDash val="dash"/>
            </a:ln>
          </c:spPr>
          <c:marker>
            <c:symbol val="none"/>
          </c:marker>
          <c:dLbls>
            <c:dLbl>
              <c:idx val="0"/>
              <c:layout>
                <c:manualLayout>
                  <c:x val="-6.5044294652499505E-3"/>
                  <c:y val="-3.1374207954179306E-2"/>
                </c:manualLayout>
              </c:layout>
              <c:tx>
                <c:rich>
                  <a:bodyPr/>
                  <a:lstStyle/>
                  <a:p>
                    <a:r>
                      <a:rPr lang="en-US"/>
                      <a:t>Median</a:t>
                    </a:r>
                  </a:p>
                </c:rich>
              </c:tx>
              <c:showLegendKey val="0"/>
              <c:showVal val="0"/>
              <c:showCatName val="0"/>
              <c:showSerName val="1"/>
              <c:showPercent val="0"/>
              <c:showBubbleSize val="0"/>
              <c:extLst>
                <c:ext xmlns:c15="http://schemas.microsoft.com/office/drawing/2012/chart" uri="{CE6537A1-D6FC-4f65-9D91-7224C49458BB}">
                  <c15:layout/>
                </c:ext>
              </c:extLst>
            </c:dLbl>
            <c:dLbl>
              <c:idx val="1"/>
              <c:delete val="1"/>
              <c:extLst>
                <c:ext xmlns:c15="http://schemas.microsoft.com/office/drawing/2012/chart" uri="{CE6537A1-D6FC-4f65-9D91-7224C49458BB}"/>
              </c:extLst>
            </c:dLbl>
            <c:spPr>
              <a:noFill/>
              <a:ln>
                <a:noFill/>
              </a:ln>
              <a:effectLst/>
            </c:spPr>
            <c:txPr>
              <a:bodyPr rot="-5400000" vertOverflow="clip" horzOverflow="clip" vert="horz" wrap="square" lIns="91440" tIns="45720" rIns="91440" bIns="45720" anchor="ctr" anchorCtr="0">
                <a:spAutoFit/>
              </a:bodyPr>
              <a:lstStyle/>
              <a:p>
                <a:pPr algn="ctr" rtl="0">
                  <a:defRPr lang="en-US" sz="900" b="0" i="0" u="none" strike="noStrike" kern="1200" baseline="0">
                    <a:solidFill>
                      <a:srgbClr val="CA0000"/>
                    </a:solidFill>
                    <a:latin typeface="+mn-lt"/>
                    <a:ea typeface="+mn-ea"/>
                    <a:cs typeface="Verdana"/>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xVal>
            <c:numRef>
              <c:f>(SVM!$D$56,SVM!$H$56)</c:f>
              <c:numCache>
                <c:formatCode>"$"#,##0_);\("$"#,##0\)</c:formatCode>
                <c:ptCount val="2"/>
                <c:pt idx="0">
                  <c:v>20</c:v>
                </c:pt>
                <c:pt idx="1">
                  <c:v>20</c:v>
                </c:pt>
              </c:numCache>
            </c:numRef>
          </c:xVal>
          <c:yVal>
            <c:numRef>
              <c:f>(SVM!$D$57,SVM!$H$57)</c:f>
              <c:numCache>
                <c:formatCode>0%</c:formatCode>
                <c:ptCount val="2"/>
                <c:pt idx="0">
                  <c:v>0.8</c:v>
                </c:pt>
                <c:pt idx="1">
                  <c:v>1</c:v>
                </c:pt>
              </c:numCache>
            </c:numRef>
          </c:yVal>
          <c:smooth val="1"/>
        </c:ser>
        <c:dLbls>
          <c:showLegendKey val="0"/>
          <c:showVal val="0"/>
          <c:showCatName val="0"/>
          <c:showSerName val="0"/>
          <c:showPercent val="0"/>
          <c:showBubbleSize val="0"/>
        </c:dLbls>
        <c:axId val="498215160"/>
        <c:axId val="498215552"/>
      </c:scatterChart>
      <c:valAx>
        <c:axId val="498215160"/>
        <c:scaling>
          <c:orientation val="maxMin"/>
          <c:max val="30"/>
        </c:scaling>
        <c:delete val="0"/>
        <c:axPos val="b"/>
        <c:majorGridlines>
          <c:spPr>
            <a:ln>
              <a:solidFill>
                <a:sysClr val="window" lastClr="FFFFFF">
                  <a:lumMod val="85000"/>
                </a:sysClr>
              </a:solidFill>
            </a:ln>
          </c:spPr>
        </c:majorGridlines>
        <c:title>
          <c:tx>
            <c:rich>
              <a:bodyPr/>
              <a:lstStyle/>
              <a:p>
                <a:pPr>
                  <a:defRPr/>
                </a:pPr>
                <a:r>
                  <a:rPr lang="en-US"/>
                  <a:t>TCO per Protected-Mbps</a:t>
                </a:r>
              </a:p>
            </c:rich>
          </c:tx>
          <c:layout/>
          <c:overlay val="0"/>
        </c:title>
        <c:numFmt formatCode="&quot;$&quot;#,##0_);\(&quot;$&quot;#,##0\)" sourceLinked="0"/>
        <c:majorTickMark val="out"/>
        <c:minorTickMark val="none"/>
        <c:tickLblPos val="nextTo"/>
        <c:crossAx val="498215552"/>
        <c:crosses val="autoZero"/>
        <c:crossBetween val="midCat"/>
      </c:valAx>
      <c:valAx>
        <c:axId val="498215552"/>
        <c:scaling>
          <c:orientation val="minMax"/>
          <c:max val="1"/>
          <c:min val="0.8"/>
        </c:scaling>
        <c:delete val="0"/>
        <c:axPos val="r"/>
        <c:majorGridlines>
          <c:spPr>
            <a:ln>
              <a:solidFill>
                <a:sysClr val="window" lastClr="FFFFFF">
                  <a:lumMod val="85000"/>
                </a:sysClr>
              </a:solidFill>
            </a:ln>
          </c:spPr>
        </c:majorGridlines>
        <c:title>
          <c:tx>
            <c:rich>
              <a:bodyPr rot="-5400000" vert="horz"/>
              <a:lstStyle/>
              <a:p>
                <a:pPr algn="ctr" rtl="0">
                  <a:defRPr/>
                </a:pPr>
                <a:r>
                  <a:rPr lang="en-US"/>
                  <a:t>Security Effectiveness </a:t>
                </a:r>
              </a:p>
            </c:rich>
          </c:tx>
          <c:layout/>
          <c:overlay val="0"/>
        </c:title>
        <c:numFmt formatCode="0%" sourceLinked="0"/>
        <c:majorTickMark val="out"/>
        <c:minorTickMark val="none"/>
        <c:tickLblPos val="nextTo"/>
        <c:crossAx val="498215160"/>
        <c:crosses val="autoZero"/>
        <c:crossBetween val="midCat"/>
      </c:valAx>
    </c:plotArea>
    <c:plotVisOnly val="1"/>
    <c:dispBlanksAs val="gap"/>
    <c:showDLblsOverMax val="0"/>
  </c:chart>
  <c:spPr>
    <a:ln>
      <a:noFill/>
    </a:ln>
  </c:spPr>
  <c:txPr>
    <a:bodyPr/>
    <a:lstStyle/>
    <a:p>
      <a:pPr>
        <a:defRPr sz="900">
          <a:latin typeface="+mn-lt"/>
          <a:cs typeface="Verdana"/>
        </a:defRPr>
      </a:pPr>
      <a:endParaRPr lang="en-US"/>
    </a:p>
  </c:txPr>
  <c:printSettings>
    <c:headerFooter/>
    <c:pageMargins b="0.750000000000002" l="0.70000000000000095" r="0.70000000000000095" t="0.750000000000002" header="0.3" footer="0.3"/>
    <c:pageSetup orientation="landscape"/>
  </c:printSettings>
  <c:userShapes r:id="rId2"/>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1489162265474762"/>
          <c:y val="6.3924402445803205E-2"/>
          <c:w val="0.74671192995741054"/>
          <c:h val="0.87224910958710544"/>
        </c:manualLayout>
      </c:layout>
      <c:barChart>
        <c:barDir val="bar"/>
        <c:grouping val="clustered"/>
        <c:varyColors val="0"/>
        <c:ser>
          <c:idx val="0"/>
          <c:order val="0"/>
          <c:tx>
            <c:strRef>
              <c:f>'Security Analysis'!$C$167</c:f>
              <c:strCache>
                <c:ptCount val="1"/>
                <c:pt idx="0">
                  <c:v>Live Exploit Coverage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'Security Analysis'!$B$168:$B$173</c:f>
              <c:strCache>
                <c:ptCount val="6"/>
                <c:pt idx="0">
                  <c:v>Cisco FirePOWER 8350</c:v>
                </c:pt>
                <c:pt idx="1">
                  <c:v>Fortinet FortiGate-1500D</c:v>
                </c:pt>
                <c:pt idx="2">
                  <c:v>HP TippingPoint S7500NX</c:v>
                </c:pt>
                <c:pt idx="3">
                  <c:v>IBM Security Network Protection XGS 5100</c:v>
                </c:pt>
                <c:pt idx="4">
                  <c:v>IBM Security Network Protection XGS 7100</c:v>
                </c:pt>
                <c:pt idx="5">
                  <c:v>Palo Alto Networks PA-5020</c:v>
                </c:pt>
              </c:strCache>
            </c:strRef>
          </c:cat>
          <c:val>
            <c:numRef>
              <c:f>'Security Analysis'!$C$168:$C$173</c:f>
              <c:numCache>
                <c:formatCode>0.0%</c:formatCode>
                <c:ptCount val="6"/>
                <c:pt idx="0">
                  <c:v>0.99511000000000005</c:v>
                </c:pt>
                <c:pt idx="1">
                  <c:v>0.9853181076672104</c:v>
                </c:pt>
                <c:pt idx="2">
                  <c:v>0.74714518760195758</c:v>
                </c:pt>
                <c:pt idx="3">
                  <c:v>0.94616999999999996</c:v>
                </c:pt>
                <c:pt idx="4">
                  <c:v>0.94616999999999996</c:v>
                </c:pt>
                <c:pt idx="5">
                  <c:v>1</c:v>
                </c:pt>
              </c:numCache>
            </c:numRef>
          </c:val>
        </c:ser>
        <c:dLbls>
          <c:showLegendKey val="0"/>
          <c:showVal val="0"/>
          <c:showCatName val="0"/>
          <c:showSerName val="0"/>
          <c:showPercent val="0"/>
          <c:showBubbleSize val="0"/>
        </c:dLbls>
        <c:gapWidth val="150"/>
        <c:axId val="507195864"/>
        <c:axId val="507772800"/>
      </c:barChart>
      <c:catAx>
        <c:axId val="507195864"/>
        <c:scaling>
          <c:orientation val="maxMin"/>
        </c:scaling>
        <c:delete val="0"/>
        <c:axPos val="l"/>
        <c:numFmt formatCode="General" sourceLinked="0"/>
        <c:majorTickMark val="out"/>
        <c:minorTickMark val="none"/>
        <c:tickLblPos val="nextTo"/>
        <c:txPr>
          <a:bodyPr rot="0" vert="horz"/>
          <a:lstStyle/>
          <a:p>
            <a:pPr>
              <a:defRPr/>
            </a:pPr>
            <a:endParaRPr lang="en-US"/>
          </a:p>
        </c:txPr>
        <c:crossAx val="507772800"/>
        <c:crosses val="autoZero"/>
        <c:auto val="1"/>
        <c:lblAlgn val="ctr"/>
        <c:lblOffset val="100"/>
        <c:noMultiLvlLbl val="0"/>
      </c:catAx>
      <c:valAx>
        <c:axId val="507772800"/>
        <c:scaling>
          <c:orientation val="minMax"/>
          <c:max val="1"/>
          <c:min val="0"/>
        </c:scaling>
        <c:delete val="0"/>
        <c:axPos val="t"/>
        <c:majorGridlines>
          <c:spPr>
            <a:ln>
              <a:noFill/>
            </a:ln>
          </c:spPr>
        </c:majorGridlines>
        <c:numFmt formatCode="0.0%" sourceLinked="1"/>
        <c:majorTickMark val="out"/>
        <c:minorTickMark val="none"/>
        <c:tickLblPos val="nextTo"/>
        <c:crossAx val="507195864"/>
        <c:crosses val="autoZero"/>
        <c:crossBetween val="between"/>
      </c:valAx>
    </c:plotArea>
    <c:plotVisOnly val="1"/>
    <c:dispBlanksAs val="gap"/>
    <c:showDLblsOverMax val="0"/>
  </c:chart>
  <c:spPr>
    <a:ln>
      <a:noFill/>
    </a:ln>
  </c:spPr>
  <c:txPr>
    <a:bodyPr/>
    <a:lstStyle/>
    <a:p>
      <a:pPr>
        <a:defRPr sz="1000">
          <a:latin typeface="+mn-lt"/>
          <a:cs typeface="Verdana"/>
        </a:defRPr>
      </a:pPr>
      <a:endParaRPr lang="en-US"/>
    </a:p>
  </c:txPr>
  <c:printSettings>
    <c:headerFooter/>
    <c:pageMargins b="1" l="0.75" r="0.75" t="1" header="0.5" footer="0.5"/>
    <c:pageSetup orientation="portrait" horizontalDpi="-4" verticalDpi="-4"/>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600676728049871"/>
          <c:y val="3.5837955038228897E-2"/>
          <c:w val="0.70687565715115985"/>
          <c:h val="0.80921675834676687"/>
        </c:manualLayout>
      </c:layout>
      <c:barChart>
        <c:barDir val="bar"/>
        <c:grouping val="clustered"/>
        <c:varyColors val="0"/>
        <c:ser>
          <c:idx val="0"/>
          <c:order val="0"/>
          <c:tx>
            <c:strRef>
              <c:f>'Performance Analysis'!$C$47</c:f>
              <c:strCache>
                <c:ptCount val="1"/>
                <c:pt idx="0">
                  <c:v>“Real World” Protocol Mix (Enterprise Perimeter)</c:v>
                </c:pt>
              </c:strCache>
            </c:strRef>
          </c:tx>
          <c:spPr>
            <a:effectLst>
              <a:outerShdw blurRad="50800" dist="38100" dir="2700000" algn="tl" rotWithShape="0">
                <a:prstClr val="black">
                  <a:alpha val="40000"/>
                </a:prstClr>
              </a:outerShdw>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'Performance Analysis'!$B$48:$B$53</c:f>
              <c:strCache>
                <c:ptCount val="6"/>
                <c:pt idx="0">
                  <c:v>Cisco FirePOWER 8350</c:v>
                </c:pt>
                <c:pt idx="1">
                  <c:v>Fortinet FortiGate-1500D</c:v>
                </c:pt>
                <c:pt idx="2">
                  <c:v>HP TippingPoint S7500NX</c:v>
                </c:pt>
                <c:pt idx="3">
                  <c:v>IBM Security Network Protection XGS 5100</c:v>
                </c:pt>
                <c:pt idx="4">
                  <c:v>IBM Security Network Protection XGS 7100</c:v>
                </c:pt>
                <c:pt idx="5">
                  <c:v>Palo Alto Networks PA-5020</c:v>
                </c:pt>
              </c:strCache>
            </c:strRef>
          </c:cat>
          <c:val>
            <c:numRef>
              <c:f>'Performance Analysis'!$C$48:$C$53</c:f>
              <c:numCache>
                <c:formatCode>#,##0</c:formatCode>
                <c:ptCount val="6"/>
                <c:pt idx="0">
                  <c:v>20000</c:v>
                </c:pt>
                <c:pt idx="1">
                  <c:v>9362</c:v>
                </c:pt>
                <c:pt idx="2">
                  <c:v>23830</c:v>
                </c:pt>
                <c:pt idx="3">
                  <c:v>14047</c:v>
                </c:pt>
                <c:pt idx="4">
                  <c:v>40000</c:v>
                </c:pt>
                <c:pt idx="5">
                  <c:v>3061.8</c:v>
                </c:pt>
              </c:numCache>
            </c:numRef>
          </c:val>
        </c:ser>
        <c:dLbls>
          <c:showLegendKey val="0"/>
          <c:showVal val="0"/>
          <c:showCatName val="0"/>
          <c:showSerName val="0"/>
          <c:showPercent val="0"/>
          <c:showBubbleSize val="0"/>
        </c:dLbls>
        <c:gapWidth val="100"/>
        <c:overlap val="-25"/>
        <c:axId val="507778288"/>
        <c:axId val="507775544"/>
      </c:barChart>
      <c:catAx>
        <c:axId val="507778288"/>
        <c:scaling>
          <c:orientation val="maxMin"/>
        </c:scaling>
        <c:delete val="0"/>
        <c:axPos val="l"/>
        <c:numFmt formatCode="General" sourceLinked="0"/>
        <c:majorTickMark val="out"/>
        <c:minorTickMark val="none"/>
        <c:tickLblPos val="nextTo"/>
        <c:crossAx val="507775544"/>
        <c:crosses val="autoZero"/>
        <c:auto val="1"/>
        <c:lblAlgn val="ctr"/>
        <c:lblOffset val="100"/>
        <c:noMultiLvlLbl val="0"/>
      </c:catAx>
      <c:valAx>
        <c:axId val="507775544"/>
        <c:scaling>
          <c:orientation val="minMax"/>
        </c:scaling>
        <c:delete val="0"/>
        <c:axPos val="b"/>
        <c:numFmt formatCode="#,##0" sourceLinked="1"/>
        <c:majorTickMark val="out"/>
        <c:minorTickMark val="none"/>
        <c:tickLblPos val="nextTo"/>
        <c:crossAx val="507778288"/>
        <c:crosses val="max"/>
        <c:crossBetween val="between"/>
      </c:valAx>
    </c:plotArea>
    <c:legend>
      <c:legendPos val="b"/>
      <c:layout>
        <c:manualLayout>
          <c:xMode val="edge"/>
          <c:yMode val="edge"/>
          <c:x val="0.36040361285362599"/>
          <c:y val="0.91979529747801703"/>
          <c:w val="0.43798600719395675"/>
          <c:h val="6.9780797032059694E-2"/>
        </c:manualLayout>
      </c:layout>
      <c:overlay val="0"/>
    </c:legend>
    <c:plotVisOnly val="1"/>
    <c:dispBlanksAs val="gap"/>
    <c:showDLblsOverMax val="0"/>
  </c:chart>
  <c:spPr>
    <a:ln>
      <a:noFill/>
    </a:ln>
  </c:spPr>
  <c:txPr>
    <a:bodyPr/>
    <a:lstStyle/>
    <a:p>
      <a:pPr>
        <a:defRPr sz="1000">
          <a:latin typeface="+mn-lt"/>
          <a:cs typeface="Verdana"/>
        </a:defRPr>
      </a:pPr>
      <a:endParaRPr lang="en-US"/>
    </a:p>
  </c:txPr>
  <c:printSettings>
    <c:headerFooter/>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tx>
            <c:strRef>
              <c:f>'Performance Analysis'!$C$2</c:f>
              <c:strCache>
                <c:ptCount val="1"/>
                <c:pt idx="0">
                  <c:v>NSS-Tested Throughput (Mbps)</c:v>
                </c:pt>
              </c:strCache>
            </c:strRef>
          </c:tx>
          <c:spPr>
            <a:effectLst>
              <a:outerShdw blurRad="50800" dist="38100" dir="2700000" algn="tl" rotWithShape="0">
                <a:prstClr val="black">
                  <a:alpha val="40000"/>
                </a:prstClr>
              </a:outerShdw>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'Performance Analysis'!$B$3:$B$8</c:f>
              <c:strCache>
                <c:ptCount val="6"/>
                <c:pt idx="0">
                  <c:v>Cisco FirePOWER 8350</c:v>
                </c:pt>
                <c:pt idx="1">
                  <c:v>Fortinet FortiGate-1500D</c:v>
                </c:pt>
                <c:pt idx="2">
                  <c:v>HP TippingPoint S7500NX</c:v>
                </c:pt>
                <c:pt idx="3">
                  <c:v>IBM Security Network Protection XGS 5100</c:v>
                </c:pt>
                <c:pt idx="4">
                  <c:v>IBM Security Network Protection XGS 7100</c:v>
                </c:pt>
                <c:pt idx="5">
                  <c:v>Palo Alto Networks PA-5020</c:v>
                </c:pt>
              </c:strCache>
            </c:strRef>
          </c:cat>
          <c:val>
            <c:numRef>
              <c:f>'Performance Analysis'!$C$3:$C$8</c:f>
              <c:numCache>
                <c:formatCode>#,##0</c:formatCode>
                <c:ptCount val="6"/>
                <c:pt idx="0">
                  <c:v>18532.8</c:v>
                </c:pt>
                <c:pt idx="1">
                  <c:v>11726.8</c:v>
                </c:pt>
                <c:pt idx="2">
                  <c:v>18694.400000000001</c:v>
                </c:pt>
                <c:pt idx="3">
                  <c:v>9168.2000000000007</c:v>
                </c:pt>
                <c:pt idx="4">
                  <c:v>24194</c:v>
                </c:pt>
                <c:pt idx="5">
                  <c:v>2972.82</c:v>
                </c:pt>
              </c:numCache>
            </c:numRef>
          </c:val>
        </c:ser>
        <c:ser>
          <c:idx val="1"/>
          <c:order val="1"/>
          <c:tx>
            <c:strRef>
              <c:f>'Performance Analysis'!$D$2</c:f>
              <c:strCache>
                <c:ptCount val="1"/>
                <c:pt idx="0">
                  <c:v>Vendor-Claimed Throughput (Mbps)</c:v>
                </c:pt>
              </c:strCache>
            </c:strRef>
          </c:tx>
          <c:spPr>
            <a:effectLst>
              <a:outerShdw blurRad="50800" dist="38100" dir="2700000" algn="tl" rotWithShape="0">
                <a:prstClr val="black">
                  <a:alpha val="40000"/>
                </a:prstClr>
              </a:outerShdw>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'Performance Analysis'!$B$3:$B$8</c:f>
              <c:strCache>
                <c:ptCount val="6"/>
                <c:pt idx="0">
                  <c:v>Cisco FirePOWER 8350</c:v>
                </c:pt>
                <c:pt idx="1">
                  <c:v>Fortinet FortiGate-1500D</c:v>
                </c:pt>
                <c:pt idx="2">
                  <c:v>HP TippingPoint S7500NX</c:v>
                </c:pt>
                <c:pt idx="3">
                  <c:v>IBM Security Network Protection XGS 5100</c:v>
                </c:pt>
                <c:pt idx="4">
                  <c:v>IBM Security Network Protection XGS 7100</c:v>
                </c:pt>
                <c:pt idx="5">
                  <c:v>Palo Alto Networks PA-5020</c:v>
                </c:pt>
              </c:strCache>
            </c:strRef>
          </c:cat>
          <c:val>
            <c:numRef>
              <c:f>'Performance Analysis'!$D$3:$D$8</c:f>
              <c:numCache>
                <c:formatCode>#,##0</c:formatCode>
                <c:ptCount val="6"/>
                <c:pt idx="0">
                  <c:v>15000</c:v>
                </c:pt>
                <c:pt idx="1">
                  <c:v>11000</c:v>
                </c:pt>
                <c:pt idx="2">
                  <c:v>20000</c:v>
                </c:pt>
                <c:pt idx="3">
                  <c:v>7000</c:v>
                </c:pt>
                <c:pt idx="4">
                  <c:v>20000</c:v>
                </c:pt>
                <c:pt idx="5">
                  <c:v>2000</c:v>
                </c:pt>
              </c:numCache>
            </c:numRef>
          </c:val>
        </c:ser>
        <c:dLbls>
          <c:showLegendKey val="0"/>
          <c:showVal val="0"/>
          <c:showCatName val="0"/>
          <c:showSerName val="0"/>
          <c:showPercent val="0"/>
          <c:showBubbleSize val="0"/>
        </c:dLbls>
        <c:gapWidth val="100"/>
        <c:overlap val="-25"/>
        <c:axId val="507777504"/>
        <c:axId val="507775152"/>
      </c:barChart>
      <c:catAx>
        <c:axId val="507777504"/>
        <c:scaling>
          <c:orientation val="maxMin"/>
        </c:scaling>
        <c:delete val="0"/>
        <c:axPos val="l"/>
        <c:numFmt formatCode="General" sourceLinked="0"/>
        <c:majorTickMark val="out"/>
        <c:minorTickMark val="none"/>
        <c:tickLblPos val="nextTo"/>
        <c:crossAx val="507775152"/>
        <c:crosses val="autoZero"/>
        <c:auto val="1"/>
        <c:lblAlgn val="ctr"/>
        <c:lblOffset val="100"/>
        <c:noMultiLvlLbl val="0"/>
      </c:catAx>
      <c:valAx>
        <c:axId val="507775152"/>
        <c:scaling>
          <c:orientation val="minMax"/>
        </c:scaling>
        <c:delete val="0"/>
        <c:axPos val="b"/>
        <c:majorGridlines>
          <c:spPr>
            <a:ln>
              <a:noFill/>
            </a:ln>
          </c:spPr>
        </c:majorGridlines>
        <c:numFmt formatCode="#,##0" sourceLinked="1"/>
        <c:majorTickMark val="out"/>
        <c:minorTickMark val="none"/>
        <c:tickLblPos val="nextTo"/>
        <c:crossAx val="507777504"/>
        <c:crosses val="max"/>
        <c:crossBetween val="between"/>
      </c:valAx>
    </c:plotArea>
    <c:legend>
      <c:legendPos val="b"/>
      <c:layout/>
      <c:overlay val="0"/>
    </c:legend>
    <c:plotVisOnly val="1"/>
    <c:dispBlanksAs val="gap"/>
    <c:showDLblsOverMax val="0"/>
  </c:chart>
  <c:spPr>
    <a:ln>
      <a:noFill/>
    </a:ln>
  </c:spPr>
  <c:txPr>
    <a:bodyPr/>
    <a:lstStyle/>
    <a:p>
      <a:pPr>
        <a:defRPr sz="1200">
          <a:latin typeface="+mn-lt"/>
          <a:cs typeface="Verdana"/>
        </a:defRPr>
      </a:pPr>
      <a:endParaRPr lang="en-US"/>
    </a:p>
  </c:txPr>
  <c:printSettings>
    <c:headerFooter/>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clustered"/>
        <c:varyColors val="0"/>
        <c:ser>
          <c:idx val="0"/>
          <c:order val="0"/>
          <c:tx>
            <c:strRef>
              <c:f>'Performance Analysis'!$E$11</c:f>
              <c:strCache>
                <c:ptCount val="1"/>
                <c:pt idx="0">
                  <c:v>Maximum TCP Connections Per Second</c:v>
                </c:pt>
              </c:strCache>
            </c:strRef>
          </c:tx>
          <c:spPr>
            <a:effectLst>
              <a:outerShdw blurRad="50800" dist="38100" dir="2700000" algn="tl" rotWithShape="0">
                <a:prstClr val="black">
                  <a:alpha val="40000"/>
                </a:prstClr>
              </a:outerShdw>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'Performance Analysis'!$B$12:$B$17</c:f>
              <c:strCache>
                <c:ptCount val="6"/>
                <c:pt idx="0">
                  <c:v>Cisco FirePOWER 8350</c:v>
                </c:pt>
                <c:pt idx="1">
                  <c:v>Fortinet FortiGate-1500D</c:v>
                </c:pt>
                <c:pt idx="2">
                  <c:v>HP TippingPoint S7500NX</c:v>
                </c:pt>
                <c:pt idx="3">
                  <c:v>IBM Security Network Protection XGS 5100</c:v>
                </c:pt>
                <c:pt idx="4">
                  <c:v>IBM Security Network Protection XGS 7100</c:v>
                </c:pt>
                <c:pt idx="5">
                  <c:v>Palo Alto Networks PA-5020</c:v>
                </c:pt>
              </c:strCache>
            </c:strRef>
          </c:cat>
          <c:val>
            <c:numRef>
              <c:f>'Performance Analysis'!$E$12:$E$17</c:f>
              <c:numCache>
                <c:formatCode>#,##0</c:formatCode>
                <c:ptCount val="6"/>
                <c:pt idx="0">
                  <c:v>516000</c:v>
                </c:pt>
                <c:pt idx="1">
                  <c:v>95000</c:v>
                </c:pt>
                <c:pt idx="2">
                  <c:v>249760</c:v>
                </c:pt>
                <c:pt idx="3">
                  <c:v>354000</c:v>
                </c:pt>
                <c:pt idx="4">
                  <c:v>583900</c:v>
                </c:pt>
                <c:pt idx="5">
                  <c:v>12005</c:v>
                </c:pt>
              </c:numCache>
            </c:numRef>
          </c:val>
        </c:ser>
        <c:ser>
          <c:idx val="1"/>
          <c:order val="1"/>
          <c:tx>
            <c:strRef>
              <c:f>'Performance Analysis'!$F$11</c:f>
              <c:strCache>
                <c:ptCount val="1"/>
                <c:pt idx="0">
                  <c:v>Maximum HTTP Connections Per Second</c:v>
                </c:pt>
              </c:strCache>
            </c:strRef>
          </c:tx>
          <c:spPr>
            <a:effectLst>
              <a:outerShdw blurRad="50800" dist="38100" dir="2700000" algn="tl" rotWithShape="0">
                <a:prstClr val="black">
                  <a:alpha val="40000"/>
                </a:prstClr>
              </a:outerShdw>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'Performance Analysis'!$B$12:$B$17</c:f>
              <c:strCache>
                <c:ptCount val="6"/>
                <c:pt idx="0">
                  <c:v>Cisco FirePOWER 8350</c:v>
                </c:pt>
                <c:pt idx="1">
                  <c:v>Fortinet FortiGate-1500D</c:v>
                </c:pt>
                <c:pt idx="2">
                  <c:v>HP TippingPoint S7500NX</c:v>
                </c:pt>
                <c:pt idx="3">
                  <c:v>IBM Security Network Protection XGS 5100</c:v>
                </c:pt>
                <c:pt idx="4">
                  <c:v>IBM Security Network Protection XGS 7100</c:v>
                </c:pt>
                <c:pt idx="5">
                  <c:v>Palo Alto Networks PA-5020</c:v>
                </c:pt>
              </c:strCache>
            </c:strRef>
          </c:cat>
          <c:val>
            <c:numRef>
              <c:f>'Performance Analysis'!$F$12:$F$17</c:f>
              <c:numCache>
                <c:formatCode>#,##0</c:formatCode>
                <c:ptCount val="6"/>
                <c:pt idx="0">
                  <c:v>400300</c:v>
                </c:pt>
                <c:pt idx="1">
                  <c:v>69940</c:v>
                </c:pt>
                <c:pt idx="2">
                  <c:v>183500</c:v>
                </c:pt>
                <c:pt idx="3">
                  <c:v>63030</c:v>
                </c:pt>
                <c:pt idx="4">
                  <c:v>174960</c:v>
                </c:pt>
                <c:pt idx="5">
                  <c:v>16200</c:v>
                </c:pt>
              </c:numCache>
            </c:numRef>
          </c:val>
        </c:ser>
        <c:dLbls>
          <c:showLegendKey val="0"/>
          <c:showVal val="0"/>
          <c:showCatName val="0"/>
          <c:showSerName val="0"/>
          <c:showPercent val="0"/>
          <c:showBubbleSize val="0"/>
        </c:dLbls>
        <c:gapWidth val="100"/>
        <c:overlap val="-25"/>
        <c:axId val="507773584"/>
        <c:axId val="507776720"/>
      </c:barChart>
      <c:catAx>
        <c:axId val="507773584"/>
        <c:scaling>
          <c:orientation val="maxMin"/>
        </c:scaling>
        <c:delete val="0"/>
        <c:axPos val="l"/>
        <c:numFmt formatCode="General" sourceLinked="0"/>
        <c:majorTickMark val="out"/>
        <c:minorTickMark val="none"/>
        <c:tickLblPos val="nextTo"/>
        <c:crossAx val="507776720"/>
        <c:crosses val="autoZero"/>
        <c:auto val="1"/>
        <c:lblAlgn val="ctr"/>
        <c:lblOffset val="100"/>
        <c:noMultiLvlLbl val="0"/>
      </c:catAx>
      <c:valAx>
        <c:axId val="507776720"/>
        <c:scaling>
          <c:orientation val="minMax"/>
        </c:scaling>
        <c:delete val="0"/>
        <c:axPos val="b"/>
        <c:numFmt formatCode="#,##0" sourceLinked="1"/>
        <c:majorTickMark val="out"/>
        <c:minorTickMark val="none"/>
        <c:tickLblPos val="nextTo"/>
        <c:crossAx val="507773584"/>
        <c:crosses val="max"/>
        <c:crossBetween val="between"/>
      </c:valAx>
      <c:spPr>
        <a:ln>
          <a:noFill/>
        </a:ln>
      </c:spPr>
    </c:plotArea>
    <c:legend>
      <c:legendPos val="b"/>
      <c:layout/>
      <c:overlay val="0"/>
    </c:legend>
    <c:plotVisOnly val="1"/>
    <c:dispBlanksAs val="gap"/>
    <c:showDLblsOverMax val="0"/>
  </c:chart>
  <c:spPr>
    <a:ln>
      <a:noFill/>
    </a:ln>
  </c:spPr>
  <c:txPr>
    <a:bodyPr/>
    <a:lstStyle/>
    <a:p>
      <a:pPr>
        <a:defRPr sz="1200">
          <a:latin typeface="+mn-lt"/>
          <a:cs typeface="Verdana"/>
        </a:defRPr>
      </a:pPr>
      <a:endParaRPr lang="en-US"/>
    </a:p>
  </c:txPr>
  <c:printSettings>
    <c:headerFooter/>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manualLayout>
          <c:layoutTarget val="inner"/>
          <c:xMode val="edge"/>
          <c:yMode val="edge"/>
          <c:x val="9.9608879389432178E-2"/>
          <c:y val="1.8562741067985299E-2"/>
          <c:w val="0.83893419023638027"/>
          <c:h val="0.82835830243511388"/>
        </c:manualLayout>
      </c:layout>
      <c:scatterChart>
        <c:scatterStyle val="lineMarker"/>
        <c:varyColors val="0"/>
        <c:ser>
          <c:idx val="0"/>
          <c:order val="0"/>
          <c:tx>
            <c:strRef>
              <c:f>'Performance Analysis'!$B$12</c:f>
              <c:strCache>
                <c:ptCount val="1"/>
                <c:pt idx="0">
                  <c:v>Cisco FirePOWER 8350</c:v>
                </c:pt>
              </c:strCache>
            </c:strRef>
          </c:tx>
          <c:spPr>
            <a:ln w="25400">
              <a:noFill/>
            </a:ln>
            <a:effectLst>
              <a:outerShdw blurRad="50800" dist="38100" dir="2700000" algn="tl" rotWithShape="0">
                <a:srgbClr val="000000">
                  <a:alpha val="43000"/>
                </a:srgbClr>
              </a:outerShdw>
            </a:effectLst>
          </c:spPr>
          <c:marker>
            <c:symbol val="circle"/>
            <c:size val="9"/>
            <c:spPr>
              <a:solidFill>
                <a:schemeClr val="accent1"/>
              </a:solidFill>
              <a:ln>
                <a:noFill/>
              </a:ln>
              <a:effectLst>
                <a:outerShdw blurRad="50800" dist="38100" dir="2700000" algn="tl" rotWithShape="0">
                  <a:srgbClr val="000000">
                    <a:alpha val="43000"/>
                  </a:srgbClr>
                </a:outerShdw>
              </a:effectLst>
            </c:spPr>
          </c:marker>
          <c:dPt>
            <c:idx val="0"/>
            <c:bubble3D val="0"/>
          </c:dPt>
          <c:dLbls>
            <c:dLbl>
              <c:idx val="0"/>
              <c:layout>
                <c:manualLayout>
                  <c:x val="-8.3456660651132751E-4"/>
                  <c:y val="-2.5679495121573487E-2"/>
                </c:manualLayout>
              </c:layout>
              <c:dLblPos val="r"/>
              <c:showLegendKey val="0"/>
              <c:showVal val="0"/>
              <c:showCatName val="0"/>
              <c:showSerName val="1"/>
              <c:showPercent val="0"/>
              <c:showBubbleSize val="0"/>
              <c:extLst>
                <c:ext xmlns:c15="http://schemas.microsoft.com/office/drawing/2012/chart" uri="{CE6537A1-D6FC-4f65-9D91-7224C49458BB}">
                  <c15:layout/>
                </c:ext>
              </c:extLst>
            </c:dLbl>
            <c:spPr>
              <a:noFill/>
              <a:ln>
                <a:noFill/>
              </a:ln>
              <a:effectLst/>
            </c:spPr>
            <c:dLblPos val="t"/>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'Performance Analysis'!$C$12</c:f>
              <c:numCache>
                <c:formatCode>#,##0</c:formatCode>
                <c:ptCount val="1"/>
                <c:pt idx="0">
                  <c:v>19244910</c:v>
                </c:pt>
              </c:numCache>
            </c:numRef>
          </c:xVal>
          <c:yVal>
            <c:numRef>
              <c:f>'Performance Analysis'!$E$12</c:f>
              <c:numCache>
                <c:formatCode>#,##0</c:formatCode>
                <c:ptCount val="1"/>
                <c:pt idx="0">
                  <c:v>516000</c:v>
                </c:pt>
              </c:numCache>
            </c:numRef>
          </c:yVal>
          <c:smooth val="0"/>
        </c:ser>
        <c:ser>
          <c:idx val="1"/>
          <c:order val="1"/>
          <c:tx>
            <c:strRef>
              <c:f>'Performance Analysis'!$B$13</c:f>
              <c:strCache>
                <c:ptCount val="1"/>
                <c:pt idx="0">
                  <c:v>Fortinet FortiGate-1500D</c:v>
                </c:pt>
              </c:strCache>
            </c:strRef>
          </c:tx>
          <c:spPr>
            <a:ln w="25400">
              <a:noFill/>
            </a:ln>
          </c:spPr>
          <c:marker>
            <c:symbol val="circle"/>
            <c:size val="9"/>
            <c:spPr>
              <a:solidFill>
                <a:srgbClr val="4F81BD"/>
              </a:solidFill>
              <a:ln>
                <a:noFill/>
              </a:ln>
            </c:spPr>
          </c:marker>
          <c:dPt>
            <c:idx val="0"/>
            <c:bubble3D val="0"/>
          </c:dPt>
          <c:dLbls>
            <c:dLbl>
              <c:idx val="0"/>
              <c:layout/>
              <c:dLblPos val="t"/>
              <c:showLegendKey val="0"/>
              <c:showVal val="0"/>
              <c:showCatName val="0"/>
              <c:showSerName val="1"/>
              <c:showPercent val="0"/>
              <c:showBubbleSize val="0"/>
              <c:extLst>
                <c:ext xmlns:c15="http://schemas.microsoft.com/office/drawing/2012/chart" uri="{CE6537A1-D6FC-4f65-9D91-7224C49458BB}">
                  <c15:layout/>
                </c:ext>
              </c:extLst>
            </c:dLbl>
            <c:spPr>
              <a:noFill/>
              <a:ln>
                <a:noFill/>
              </a:ln>
              <a:effectLst/>
            </c:spPr>
            <c:dLblPos val="t"/>
            <c:showLegendKey val="0"/>
            <c:showVal val="1"/>
            <c:showCatName val="0"/>
            <c:showSerName val="1"/>
            <c:showPercent val="0"/>
            <c:showBubbleSize val="0"/>
            <c:showLeaderLines val="0"/>
            <c:extLst>
              <c:ext xmlns:c15="http://schemas.microsoft.com/office/drawing/2012/chart" uri="{CE6537A1-D6FC-4f65-9D91-7224C49458BB}">
                <c15:showLeaderLines val="1"/>
              </c:ext>
            </c:extLst>
          </c:dLbls>
          <c:xVal>
            <c:numRef>
              <c:f>'Performance Analysis'!$C$13</c:f>
              <c:numCache>
                <c:formatCode>#,##0</c:formatCode>
                <c:ptCount val="1"/>
                <c:pt idx="0">
                  <c:v>2349819</c:v>
                </c:pt>
              </c:numCache>
            </c:numRef>
          </c:xVal>
          <c:yVal>
            <c:numRef>
              <c:f>'Performance Analysis'!$E$13</c:f>
              <c:numCache>
                <c:formatCode>#,##0</c:formatCode>
                <c:ptCount val="1"/>
                <c:pt idx="0">
                  <c:v>95000</c:v>
                </c:pt>
              </c:numCache>
            </c:numRef>
          </c:yVal>
          <c:smooth val="0"/>
        </c:ser>
        <c:ser>
          <c:idx val="7"/>
          <c:order val="2"/>
          <c:tx>
            <c:strRef>
              <c:f>'Performance Analysis'!$B$15</c:f>
              <c:strCache>
                <c:ptCount val="1"/>
                <c:pt idx="0">
                  <c:v>IBM Security Network Protection XGS 5100</c:v>
                </c:pt>
              </c:strCache>
            </c:strRef>
          </c:tx>
          <c:spPr>
            <a:ln w="47625">
              <a:noFill/>
            </a:ln>
          </c:spPr>
          <c:marker>
            <c:symbol val="circle"/>
            <c:size val="9"/>
            <c:spPr>
              <a:solidFill>
                <a:schemeClr val="accent1"/>
              </a:solidFill>
              <a:ln>
                <a:solidFill>
                  <a:schemeClr val="accent1"/>
                </a:solidFill>
              </a:ln>
            </c:spPr>
          </c:marker>
          <c:dLbls>
            <c:dLbl>
              <c:idx val="0"/>
              <c:layout/>
              <c:spPr>
                <a:noFill/>
                <a:ln>
                  <a:noFill/>
                </a:ln>
                <a:effectLst/>
              </c:spPr>
              <c:txPr>
                <a:bodyPr wrap="square" lIns="38100" tIns="19050" rIns="38100" bIns="19050" anchor="ctr">
                  <a:noAutofit/>
                </a:bodyPr>
                <a:lstStyle/>
                <a:p>
                  <a:pPr>
                    <a:defRPr/>
                  </a:pPr>
                  <a:endParaRPr lang="en-US"/>
                </a:p>
              </c:txPr>
              <c:dLblPos val="t"/>
              <c:showLegendKey val="0"/>
              <c:showVal val="0"/>
              <c:showCatName val="0"/>
              <c:showSerName val="1"/>
              <c:showPercent val="0"/>
              <c:showBubbleSize val="0"/>
              <c:extLst>
                <c:ext xmlns:c15="http://schemas.microsoft.com/office/drawing/2012/chart" uri="{CE6537A1-D6FC-4f65-9D91-7224C49458BB}">
                  <c15:layout>
                    <c:manualLayout>
                      <c:w val="0.28154595229096013"/>
                      <c:h val="6.6562223851907187E-2"/>
                    </c:manualLayout>
                  </c15:layout>
                </c:ext>
              </c:extLst>
            </c:dLbl>
            <c:spPr>
              <a:noFill/>
              <a:ln>
                <a:noFill/>
              </a:ln>
              <a:effectLst/>
            </c:spPr>
            <c:dLblPos val="t"/>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'Performance Analysis'!$C$15</c:f>
              <c:numCache>
                <c:formatCode>#,##0</c:formatCode>
                <c:ptCount val="1"/>
                <c:pt idx="0">
                  <c:v>3284804</c:v>
                </c:pt>
              </c:numCache>
            </c:numRef>
          </c:xVal>
          <c:yVal>
            <c:numRef>
              <c:f>'Performance Analysis'!$E$15</c:f>
              <c:numCache>
                <c:formatCode>#,##0</c:formatCode>
                <c:ptCount val="1"/>
                <c:pt idx="0">
                  <c:v>354000</c:v>
                </c:pt>
              </c:numCache>
            </c:numRef>
          </c:yVal>
          <c:smooth val="0"/>
        </c:ser>
        <c:ser>
          <c:idx val="8"/>
          <c:order val="3"/>
          <c:tx>
            <c:strRef>
              <c:f>'Performance Analysis'!$B$16</c:f>
              <c:strCache>
                <c:ptCount val="1"/>
                <c:pt idx="0">
                  <c:v>IBM Security Network Protection XGS 7100</c:v>
                </c:pt>
              </c:strCache>
            </c:strRef>
          </c:tx>
          <c:spPr>
            <a:ln w="47625">
              <a:noFill/>
            </a:ln>
          </c:spPr>
          <c:marker>
            <c:symbol val="circle"/>
            <c:size val="9"/>
            <c:spPr>
              <a:solidFill>
                <a:schemeClr val="accent1"/>
              </a:solidFill>
              <a:ln>
                <a:solidFill>
                  <a:schemeClr val="accent1"/>
                </a:solidFill>
              </a:ln>
            </c:spPr>
          </c:marker>
          <c:dLbls>
            <c:dLbl>
              <c:idx val="0"/>
              <c:layout/>
              <c:spPr>
                <a:noFill/>
                <a:ln>
                  <a:noFill/>
                </a:ln>
                <a:effectLst/>
              </c:spPr>
              <c:txPr>
                <a:bodyPr wrap="square" lIns="38100" tIns="19050" rIns="38100" bIns="19050" anchor="ctr">
                  <a:noAutofit/>
                </a:bodyPr>
                <a:lstStyle/>
                <a:p>
                  <a:pPr>
                    <a:defRPr/>
                  </a:pPr>
                  <a:endParaRPr lang="en-US"/>
                </a:p>
              </c:txPr>
              <c:dLblPos val="t"/>
              <c:showLegendKey val="0"/>
              <c:showVal val="0"/>
              <c:showCatName val="0"/>
              <c:showSerName val="1"/>
              <c:showPercent val="0"/>
              <c:showBubbleSize val="0"/>
              <c:extLst>
                <c:ext xmlns:c15="http://schemas.microsoft.com/office/drawing/2012/chart" uri="{CE6537A1-D6FC-4f65-9D91-7224C49458BB}">
                  <c15:layout>
                    <c:manualLayout>
                      <c:w val="0.2632353945853097"/>
                      <c:h val="6.6562223851907187E-2"/>
                    </c:manualLayout>
                  </c15:layout>
                </c:ext>
              </c:extLst>
            </c:dLbl>
            <c:spPr>
              <a:noFill/>
              <a:ln>
                <a:noFill/>
              </a:ln>
              <a:effectLst/>
            </c:spPr>
            <c:dLblPos val="t"/>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'Performance Analysis'!$C$16</c:f>
              <c:numCache>
                <c:formatCode>#,##0</c:formatCode>
                <c:ptCount val="1"/>
                <c:pt idx="0">
                  <c:v>20000000</c:v>
                </c:pt>
              </c:numCache>
            </c:numRef>
          </c:xVal>
          <c:yVal>
            <c:numRef>
              <c:f>'Performance Analysis'!$E$16</c:f>
              <c:numCache>
                <c:formatCode>#,##0</c:formatCode>
                <c:ptCount val="1"/>
                <c:pt idx="0">
                  <c:v>583900</c:v>
                </c:pt>
              </c:numCache>
            </c:numRef>
          </c:yVal>
          <c:smooth val="0"/>
        </c:ser>
        <c:ser>
          <c:idx val="9"/>
          <c:order val="4"/>
          <c:tx>
            <c:strRef>
              <c:f>'Performance Analysis'!$B$17</c:f>
              <c:strCache>
                <c:ptCount val="1"/>
                <c:pt idx="0">
                  <c:v>Palo Alto Networks PA-5020</c:v>
                </c:pt>
              </c:strCache>
            </c:strRef>
          </c:tx>
          <c:spPr>
            <a:ln w="47625">
              <a:noFill/>
            </a:ln>
          </c:spPr>
          <c:marker>
            <c:symbol val="circle"/>
            <c:size val="9"/>
            <c:spPr>
              <a:solidFill>
                <a:schemeClr val="accent1"/>
              </a:solidFill>
              <a:ln>
                <a:solidFill>
                  <a:schemeClr val="accent1"/>
                </a:solidFill>
              </a:ln>
            </c:spPr>
          </c:marker>
          <c:dLbls>
            <c:spPr>
              <a:noFill/>
              <a:ln>
                <a:noFill/>
              </a:ln>
              <a:effectLst/>
            </c:spPr>
            <c:dLblPos val="t"/>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'Performance Analysis'!$C$17</c:f>
              <c:numCache>
                <c:formatCode>#,##0</c:formatCode>
                <c:ptCount val="1"/>
                <c:pt idx="0">
                  <c:v>828753</c:v>
                </c:pt>
              </c:numCache>
            </c:numRef>
          </c:xVal>
          <c:yVal>
            <c:numRef>
              <c:f>'Performance Analysis'!$E$17</c:f>
              <c:numCache>
                <c:formatCode>#,##0</c:formatCode>
                <c:ptCount val="1"/>
                <c:pt idx="0">
                  <c:v>12005</c:v>
                </c:pt>
              </c:numCache>
            </c:numRef>
          </c:yVal>
          <c:smooth val="0"/>
        </c:ser>
        <c:ser>
          <c:idx val="2"/>
          <c:order val="5"/>
          <c:tx>
            <c:strRef>
              <c:f>'Performance Analysis'!$B$14</c:f>
              <c:strCache>
                <c:ptCount val="1"/>
                <c:pt idx="0">
                  <c:v>HP TippingPoint S7500NX</c:v>
                </c:pt>
              </c:strCache>
            </c:strRef>
          </c:tx>
          <c:spPr>
            <a:ln w="47625">
              <a:noFill/>
            </a:ln>
          </c:spPr>
          <c:marker>
            <c:symbol val="circle"/>
            <c:size val="9"/>
            <c:spPr>
              <a:solidFill>
                <a:schemeClr val="accent1"/>
              </a:solidFill>
              <a:ln>
                <a:noFill/>
              </a:ln>
            </c:spPr>
          </c:marker>
          <c:dLbls>
            <c:spPr>
              <a:noFill/>
              <a:ln>
                <a:noFill/>
              </a:ln>
              <a:effectLst/>
            </c:spPr>
            <c:dLblPos val="t"/>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'Performance Analysis'!$C$14</c:f>
              <c:numCache>
                <c:formatCode>#,##0</c:formatCode>
                <c:ptCount val="1"/>
                <c:pt idx="0">
                  <c:v>60000000</c:v>
                </c:pt>
              </c:numCache>
            </c:numRef>
          </c:xVal>
          <c:yVal>
            <c:numRef>
              <c:f>'Performance Analysis'!$E$14</c:f>
              <c:numCache>
                <c:formatCode>#,##0</c:formatCode>
                <c:ptCount val="1"/>
                <c:pt idx="0">
                  <c:v>249760</c:v>
                </c:pt>
              </c:numCache>
            </c:numRef>
          </c:yVal>
          <c:smooth val="0"/>
        </c:ser>
        <c:dLbls>
          <c:showLegendKey val="0"/>
          <c:showVal val="0"/>
          <c:showCatName val="0"/>
          <c:showSerName val="1"/>
          <c:showPercent val="0"/>
          <c:showBubbleSize val="0"/>
        </c:dLbls>
        <c:axId val="507774760"/>
        <c:axId val="507777112"/>
      </c:scatterChart>
      <c:valAx>
        <c:axId val="507774760"/>
        <c:scaling>
          <c:logBase val="10"/>
          <c:orientation val="minMax"/>
          <c:min val="100000"/>
        </c:scaling>
        <c:delete val="0"/>
        <c:axPos val="b"/>
        <c:majorGridlines>
          <c:spPr>
            <a:ln>
              <a:noFill/>
            </a:ln>
          </c:spPr>
        </c:majorGridlines>
        <c:title>
          <c:tx>
            <c:rich>
              <a:bodyPr/>
              <a:lstStyle/>
              <a:p>
                <a:pPr>
                  <a:defRPr/>
                </a:pPr>
                <a:r>
                  <a:rPr lang="en-US"/>
                  <a:t>Maximum Concurrent / Simultaneous TCP Connections</a:t>
                </a:r>
              </a:p>
            </c:rich>
          </c:tx>
          <c:layout>
            <c:manualLayout>
              <c:xMode val="edge"/>
              <c:yMode val="edge"/>
              <c:x val="0.37113018330900799"/>
              <c:y val="0.92631857459846001"/>
            </c:manualLayout>
          </c:layout>
          <c:overlay val="0"/>
        </c:title>
        <c:numFmt formatCode="#,##0" sourceLinked="1"/>
        <c:majorTickMark val="out"/>
        <c:minorTickMark val="none"/>
        <c:tickLblPos val="nextTo"/>
        <c:crossAx val="507777112"/>
        <c:crosses val="autoZero"/>
        <c:crossBetween val="midCat"/>
      </c:valAx>
      <c:valAx>
        <c:axId val="507777112"/>
        <c:scaling>
          <c:orientation val="minMax"/>
        </c:scaling>
        <c:delete val="0"/>
        <c:axPos val="l"/>
        <c:majorGridlines>
          <c:spPr>
            <a:ln>
              <a:noFill/>
            </a:ln>
          </c:spPr>
        </c:majorGridlines>
        <c:title>
          <c:tx>
            <c:rich>
              <a:bodyPr rot="-5400000" vert="horz"/>
              <a:lstStyle/>
              <a:p>
                <a:pPr>
                  <a:defRPr/>
                </a:pPr>
                <a:r>
                  <a:rPr lang="en-US"/>
                  <a:t>Maximum TCP Connections per Second</a:t>
                </a:r>
              </a:p>
            </c:rich>
          </c:tx>
          <c:layout>
            <c:manualLayout>
              <c:xMode val="edge"/>
              <c:yMode val="edge"/>
              <c:x val="1.2428221726546961E-2"/>
              <c:y val="0.1321032691379169"/>
            </c:manualLayout>
          </c:layout>
          <c:overlay val="0"/>
        </c:title>
        <c:numFmt formatCode="#,##0" sourceLinked="1"/>
        <c:majorTickMark val="out"/>
        <c:minorTickMark val="none"/>
        <c:tickLblPos val="nextTo"/>
        <c:crossAx val="507774760"/>
        <c:crosses val="autoZero"/>
        <c:crossBetween val="midCat"/>
      </c:valAx>
      <c:spPr>
        <a:ln>
          <a:noFill/>
        </a:ln>
      </c:spPr>
    </c:plotArea>
    <c:plotVisOnly val="1"/>
    <c:dispBlanksAs val="gap"/>
    <c:showDLblsOverMax val="0"/>
  </c:chart>
  <c:spPr>
    <a:ln>
      <a:noFill/>
    </a:ln>
  </c:spPr>
  <c:txPr>
    <a:bodyPr/>
    <a:lstStyle/>
    <a:p>
      <a:pPr>
        <a:defRPr sz="1000">
          <a:latin typeface="+mn-lt"/>
          <a:cs typeface="Verdana"/>
        </a:defRPr>
      </a:pPr>
      <a:endParaRPr lang="en-US"/>
    </a:p>
  </c:txPr>
  <c:printSettings>
    <c:headerFooter/>
    <c:pageMargins b="1" l="0.75" r="0.7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99669350555678"/>
          <c:y val="6.7162581679685168E-2"/>
          <c:w val="0.68940771683440838"/>
          <c:h val="0.77581356702895576"/>
        </c:manualLayout>
      </c:layout>
      <c:barChart>
        <c:barDir val="bar"/>
        <c:grouping val="clustered"/>
        <c:varyColors val="0"/>
        <c:ser>
          <c:idx val="0"/>
          <c:order val="0"/>
          <c:tx>
            <c:strRef>
              <c:f>'Performance Analysis'!$M$20</c:f>
              <c:strCache>
                <c:ptCount val="1"/>
                <c:pt idx="0">
                  <c:v>44 KB Response (Mbps)</c:v>
                </c:pt>
              </c:strCache>
            </c:strRef>
          </c:tx>
          <c:spPr>
            <a:effectLst>
              <a:outerShdw blurRad="50800" dist="38100" dir="2700000" algn="tl" rotWithShape="0">
                <a:prstClr val="black">
                  <a:alpha val="40000"/>
                </a:prstClr>
              </a:outerShdw>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'Performance Analysis'!$B$21:$B$26</c:f>
              <c:strCache>
                <c:ptCount val="6"/>
                <c:pt idx="0">
                  <c:v>Cisco FirePOWER 8350</c:v>
                </c:pt>
                <c:pt idx="1">
                  <c:v>Fortinet FortiGate-1500D</c:v>
                </c:pt>
                <c:pt idx="2">
                  <c:v>HP TippingPoint S7500NX</c:v>
                </c:pt>
                <c:pt idx="3">
                  <c:v>IBM Security Network Protection XGS 5100</c:v>
                </c:pt>
                <c:pt idx="4">
                  <c:v>IBM Security Network Protection XGS 7100</c:v>
                </c:pt>
                <c:pt idx="5">
                  <c:v>Palo Alto Networks PA-5020</c:v>
                </c:pt>
              </c:strCache>
            </c:strRef>
          </c:cat>
          <c:val>
            <c:numRef>
              <c:f>'Performance Analysis'!$M$21:$M$26</c:f>
              <c:numCache>
                <c:formatCode>#,##0</c:formatCode>
                <c:ptCount val="6"/>
                <c:pt idx="0">
                  <c:v>20000</c:v>
                </c:pt>
                <c:pt idx="1">
                  <c:v>7223.6</c:v>
                </c:pt>
                <c:pt idx="2">
                  <c:v>20924</c:v>
                </c:pt>
                <c:pt idx="3">
                  <c:v>5817.2</c:v>
                </c:pt>
                <c:pt idx="4">
                  <c:v>18772</c:v>
                </c:pt>
                <c:pt idx="5">
                  <c:v>4656.3999999999996</c:v>
                </c:pt>
              </c:numCache>
            </c:numRef>
          </c:val>
        </c:ser>
        <c:dLbls>
          <c:showLegendKey val="0"/>
          <c:showVal val="0"/>
          <c:showCatName val="0"/>
          <c:showSerName val="0"/>
          <c:showPercent val="0"/>
          <c:showBubbleSize val="0"/>
        </c:dLbls>
        <c:gapWidth val="150"/>
        <c:axId val="507775936"/>
        <c:axId val="507771232"/>
      </c:barChart>
      <c:catAx>
        <c:axId val="507775936"/>
        <c:scaling>
          <c:orientation val="maxMin"/>
        </c:scaling>
        <c:delete val="0"/>
        <c:axPos val="l"/>
        <c:numFmt formatCode="General" sourceLinked="0"/>
        <c:majorTickMark val="out"/>
        <c:minorTickMark val="none"/>
        <c:tickLblPos val="nextTo"/>
        <c:crossAx val="507771232"/>
        <c:crosses val="autoZero"/>
        <c:auto val="1"/>
        <c:lblAlgn val="ctr"/>
        <c:lblOffset val="100"/>
        <c:noMultiLvlLbl val="0"/>
      </c:catAx>
      <c:valAx>
        <c:axId val="507771232"/>
        <c:scaling>
          <c:orientation val="minMax"/>
        </c:scaling>
        <c:delete val="0"/>
        <c:axPos val="b"/>
        <c:majorGridlines>
          <c:spPr>
            <a:ln>
              <a:noFill/>
            </a:ln>
          </c:spPr>
        </c:majorGridlines>
        <c:numFmt formatCode="#,##0" sourceLinked="1"/>
        <c:majorTickMark val="none"/>
        <c:minorTickMark val="none"/>
        <c:tickLblPos val="nextTo"/>
        <c:crossAx val="507775936"/>
        <c:crosses val="max"/>
        <c:crossBetween val="between"/>
      </c:valAx>
      <c:dTable>
        <c:showHorzBorder val="1"/>
        <c:showVertBorder val="1"/>
        <c:showOutline val="1"/>
        <c:showKeys val="1"/>
      </c:dTable>
      <c:spPr>
        <a:ln>
          <a:noFill/>
        </a:ln>
      </c:spPr>
    </c:plotArea>
    <c:plotVisOnly val="1"/>
    <c:dispBlanksAs val="gap"/>
    <c:showDLblsOverMax val="0"/>
  </c:chart>
  <c:spPr>
    <a:ln>
      <a:noFill/>
    </a:ln>
  </c:spPr>
  <c:txPr>
    <a:bodyPr/>
    <a:lstStyle/>
    <a:p>
      <a:pPr>
        <a:defRPr sz="1000">
          <a:latin typeface="+mn-lt"/>
          <a:cs typeface="Verdana"/>
        </a:defRPr>
      </a:pPr>
      <a:endParaRPr lang="en-US"/>
    </a:p>
  </c:txPr>
  <c:printSettings>
    <c:headerFooter/>
    <c:pageMargins b="1" l="0.75" r="0.75" t="1" header="0.5" footer="0.5"/>
    <c:pageSetup orientation="portrait" horizontalDpi="-4" verticalDpi="-4"/>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330164181604958"/>
          <c:y val="6.7162581679685168E-2"/>
          <c:w val="0.71148475456525384"/>
          <c:h val="0.77581356702895576"/>
        </c:manualLayout>
      </c:layout>
      <c:barChart>
        <c:barDir val="bar"/>
        <c:grouping val="clustered"/>
        <c:varyColors val="0"/>
        <c:ser>
          <c:idx val="0"/>
          <c:order val="0"/>
          <c:tx>
            <c:strRef>
              <c:f>'Performance Analysis'!$N$20</c:f>
              <c:strCache>
                <c:ptCount val="1"/>
                <c:pt idx="0">
                  <c:v>21 KB Response (Mbps)</c:v>
                </c:pt>
              </c:strCache>
            </c:strRef>
          </c:tx>
          <c:spPr>
            <a:effectLst>
              <a:outerShdw blurRad="50800" dist="38100" dir="2700000" algn="tl" rotWithShape="0">
                <a:prstClr val="black">
                  <a:alpha val="40000"/>
                </a:prstClr>
              </a:outerShdw>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'Performance Analysis'!$B$21:$B$26</c:f>
              <c:strCache>
                <c:ptCount val="6"/>
                <c:pt idx="0">
                  <c:v>Cisco FirePOWER 8350</c:v>
                </c:pt>
                <c:pt idx="1">
                  <c:v>Fortinet FortiGate-1500D</c:v>
                </c:pt>
                <c:pt idx="2">
                  <c:v>HP TippingPoint S7500NX</c:v>
                </c:pt>
                <c:pt idx="3">
                  <c:v>IBM Security Network Protection XGS 5100</c:v>
                </c:pt>
                <c:pt idx="4">
                  <c:v>IBM Security Network Protection XGS 7100</c:v>
                </c:pt>
                <c:pt idx="5">
                  <c:v>Palo Alto Networks PA-5020</c:v>
                </c:pt>
              </c:strCache>
            </c:strRef>
          </c:cat>
          <c:val>
            <c:numRef>
              <c:f>'Performance Analysis'!$N$21:$N$26</c:f>
              <c:numCache>
                <c:formatCode>#,##0</c:formatCode>
                <c:ptCount val="6"/>
                <c:pt idx="0">
                  <c:v>20000</c:v>
                </c:pt>
                <c:pt idx="1">
                  <c:v>5596</c:v>
                </c:pt>
                <c:pt idx="2">
                  <c:v>15356</c:v>
                </c:pt>
                <c:pt idx="3">
                  <c:v>5220</c:v>
                </c:pt>
                <c:pt idx="4">
                  <c:v>13760</c:v>
                </c:pt>
                <c:pt idx="5">
                  <c:v>2652.6</c:v>
                </c:pt>
              </c:numCache>
            </c:numRef>
          </c:val>
        </c:ser>
        <c:dLbls>
          <c:showLegendKey val="0"/>
          <c:showVal val="0"/>
          <c:showCatName val="0"/>
          <c:showSerName val="0"/>
          <c:showPercent val="0"/>
          <c:showBubbleSize val="0"/>
        </c:dLbls>
        <c:gapWidth val="150"/>
        <c:axId val="509818496"/>
        <c:axId val="509815752"/>
      </c:barChart>
      <c:catAx>
        <c:axId val="509818496"/>
        <c:scaling>
          <c:orientation val="maxMin"/>
        </c:scaling>
        <c:delete val="0"/>
        <c:axPos val="l"/>
        <c:numFmt formatCode="General" sourceLinked="0"/>
        <c:majorTickMark val="out"/>
        <c:minorTickMark val="none"/>
        <c:tickLblPos val="nextTo"/>
        <c:crossAx val="509815752"/>
        <c:crosses val="autoZero"/>
        <c:auto val="1"/>
        <c:lblAlgn val="ctr"/>
        <c:lblOffset val="100"/>
        <c:noMultiLvlLbl val="0"/>
      </c:catAx>
      <c:valAx>
        <c:axId val="509815752"/>
        <c:scaling>
          <c:orientation val="minMax"/>
        </c:scaling>
        <c:delete val="0"/>
        <c:axPos val="b"/>
        <c:majorGridlines>
          <c:spPr>
            <a:ln>
              <a:noFill/>
            </a:ln>
          </c:spPr>
        </c:majorGridlines>
        <c:numFmt formatCode="#,##0" sourceLinked="1"/>
        <c:majorTickMark val="none"/>
        <c:minorTickMark val="none"/>
        <c:tickLblPos val="nextTo"/>
        <c:crossAx val="509818496"/>
        <c:crosses val="max"/>
        <c:crossBetween val="between"/>
      </c:valAx>
      <c:dTable>
        <c:showHorzBorder val="1"/>
        <c:showVertBorder val="1"/>
        <c:showOutline val="1"/>
        <c:showKeys val="1"/>
      </c:dTable>
      <c:spPr>
        <a:ln>
          <a:noFill/>
        </a:ln>
      </c:spPr>
    </c:plotArea>
    <c:plotVisOnly val="1"/>
    <c:dispBlanksAs val="gap"/>
    <c:showDLblsOverMax val="0"/>
  </c:chart>
  <c:spPr>
    <a:ln>
      <a:noFill/>
    </a:ln>
  </c:spPr>
  <c:txPr>
    <a:bodyPr/>
    <a:lstStyle/>
    <a:p>
      <a:pPr>
        <a:defRPr sz="1000">
          <a:latin typeface="+mn-lt"/>
          <a:cs typeface="Verdana"/>
        </a:defRPr>
      </a:pPr>
      <a:endParaRPr lang="en-US"/>
    </a:p>
  </c:txPr>
  <c:printSettings>
    <c:headerFooter/>
    <c:pageMargins b="1" l="0.75" r="0.75" t="1" header="0.5" footer="0.5"/>
    <c:pageSetup orientation="portrait" horizontalDpi="-4" verticalDpi="-4"/>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90460250229777"/>
          <c:y val="3.3532698382762002E-2"/>
          <c:w val="0.84903214307407804"/>
          <c:h val="0.82197348616949029"/>
        </c:manualLayout>
      </c:layout>
      <c:scatterChart>
        <c:scatterStyle val="lineMarker"/>
        <c:varyColors val="0"/>
        <c:ser>
          <c:idx val="0"/>
          <c:order val="0"/>
          <c:tx>
            <c:strRef>
              <c:f>'Performance Analysis'!$B$3</c:f>
              <c:strCache>
                <c:ptCount val="1"/>
                <c:pt idx="0">
                  <c:v>Cisco FirePOWER 8350</c:v>
                </c:pt>
              </c:strCache>
            </c:strRef>
          </c:tx>
          <c:spPr>
            <a:ln w="25400">
              <a:noFill/>
            </a:ln>
            <a:effectLst>
              <a:outerShdw blurRad="50800" dist="38100" dir="2700000" algn="tl" rotWithShape="0">
                <a:srgbClr val="000000">
                  <a:alpha val="43000"/>
                </a:srgbClr>
              </a:outerShdw>
            </a:effectLst>
          </c:spPr>
          <c:marker>
            <c:symbol val="square"/>
            <c:size val="9"/>
            <c:spPr>
              <a:solidFill>
                <a:srgbClr val="4F81BD"/>
              </a:solidFill>
              <a:ln>
                <a:noFill/>
              </a:ln>
              <a:effectLst>
                <a:outerShdw blurRad="50800" dist="38100" dir="2700000" algn="tl" rotWithShape="0">
                  <a:srgbClr val="000000">
                    <a:alpha val="43000"/>
                  </a:srgbClr>
                </a:outerShdw>
              </a:effectLst>
            </c:spPr>
          </c:marker>
          <c:dPt>
            <c:idx val="0"/>
            <c:marker>
              <c:symbol val="circle"/>
              <c:size val="9"/>
            </c:marker>
            <c:bubble3D val="0"/>
          </c:dPt>
          <c:dLbls>
            <c:spPr>
              <a:noFill/>
              <a:ln>
                <a:noFill/>
              </a:ln>
              <a:effectLst/>
            </c:spPr>
            <c:dLblPos val="t"/>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'Performance Analysis'!$C$3</c:f>
              <c:numCache>
                <c:formatCode>#,##0</c:formatCode>
                <c:ptCount val="1"/>
                <c:pt idx="0">
                  <c:v>18532.8</c:v>
                </c:pt>
              </c:numCache>
            </c:numRef>
          </c:xVal>
          <c:yVal>
            <c:numRef>
              <c:f>'Performance Analysis'!$E$12</c:f>
              <c:numCache>
                <c:formatCode>#,##0</c:formatCode>
                <c:ptCount val="1"/>
                <c:pt idx="0">
                  <c:v>516000</c:v>
                </c:pt>
              </c:numCache>
            </c:numRef>
          </c:yVal>
          <c:smooth val="0"/>
        </c:ser>
        <c:ser>
          <c:idx val="1"/>
          <c:order val="1"/>
          <c:tx>
            <c:strRef>
              <c:f>'Performance Analysis'!$B$13</c:f>
              <c:strCache>
                <c:ptCount val="1"/>
                <c:pt idx="0">
                  <c:v>Fortinet FortiGate-1500D</c:v>
                </c:pt>
              </c:strCache>
            </c:strRef>
          </c:tx>
          <c:spPr>
            <a:ln w="25400">
              <a:noFill/>
            </a:ln>
          </c:spPr>
          <c:marker>
            <c:symbol val="circle"/>
            <c:size val="9"/>
            <c:spPr>
              <a:solidFill>
                <a:srgbClr val="4F81BD"/>
              </a:solidFill>
              <a:ln>
                <a:noFill/>
              </a:ln>
            </c:spPr>
          </c:marker>
          <c:dPt>
            <c:idx val="0"/>
            <c:bubble3D val="0"/>
          </c:dPt>
          <c:dLbls>
            <c:spPr>
              <a:noFill/>
              <a:ln>
                <a:noFill/>
              </a:ln>
              <a:effectLst/>
            </c:spPr>
            <c:dLblPos val="t"/>
            <c:showLegendKey val="0"/>
            <c:showVal val="0"/>
            <c:showCatName val="0"/>
            <c:showSerName val="1"/>
            <c:showPercent val="0"/>
            <c:showBubbleSize val="0"/>
            <c:showLeaderLines val="0"/>
            <c:extLst>
              <c:ext xmlns:c15="http://schemas.microsoft.com/office/drawing/2012/chart" uri="{CE6537A1-D6FC-4f65-9D91-7224C49458BB}">
                <c15:layout/>
                <c15:showLeaderLines val="1"/>
              </c:ext>
            </c:extLst>
          </c:dLbls>
          <c:xVal>
            <c:numRef>
              <c:f>'Performance Analysis'!$C$4</c:f>
              <c:numCache>
                <c:formatCode>#,##0</c:formatCode>
                <c:ptCount val="1"/>
                <c:pt idx="0">
                  <c:v>11726.8</c:v>
                </c:pt>
              </c:numCache>
            </c:numRef>
          </c:xVal>
          <c:yVal>
            <c:numRef>
              <c:f>'Performance Analysis'!$E$13</c:f>
              <c:numCache>
                <c:formatCode>#,##0</c:formatCode>
                <c:ptCount val="1"/>
                <c:pt idx="0">
                  <c:v>95000</c:v>
                </c:pt>
              </c:numCache>
            </c:numRef>
          </c:yVal>
          <c:smooth val="0"/>
        </c:ser>
        <c:ser>
          <c:idx val="7"/>
          <c:order val="2"/>
          <c:tx>
            <c:strRef>
              <c:f>'Performance Analysis'!$B$6</c:f>
              <c:strCache>
                <c:ptCount val="1"/>
                <c:pt idx="0">
                  <c:v>IBM Security Network Protection XGS 5100</c:v>
                </c:pt>
              </c:strCache>
            </c:strRef>
          </c:tx>
          <c:spPr>
            <a:ln w="47625">
              <a:noFill/>
            </a:ln>
          </c:spPr>
          <c:marker>
            <c:symbol val="circle"/>
            <c:size val="9"/>
            <c:spPr>
              <a:solidFill>
                <a:srgbClr val="4F81BD"/>
              </a:solidFill>
              <a:ln>
                <a:solidFill>
                  <a:srgbClr val="4F81BD"/>
                </a:solidFill>
              </a:ln>
            </c:spPr>
          </c:marker>
          <c:dLbls>
            <c:dLbl>
              <c:idx val="0"/>
              <c:layout/>
              <c:spPr>
                <a:noFill/>
                <a:ln>
                  <a:noFill/>
                </a:ln>
                <a:effectLst/>
              </c:spPr>
              <c:txPr>
                <a:bodyPr wrap="square" lIns="38100" tIns="19050" rIns="38100" bIns="19050" anchor="ctr">
                  <a:noAutofit/>
                </a:bodyPr>
                <a:lstStyle/>
                <a:p>
                  <a:pPr>
                    <a:defRPr/>
                  </a:pPr>
                  <a:endParaRPr lang="en-US"/>
                </a:p>
              </c:txPr>
              <c:dLblPos val="t"/>
              <c:showLegendKey val="0"/>
              <c:showVal val="0"/>
              <c:showCatName val="0"/>
              <c:showSerName val="1"/>
              <c:showPercent val="0"/>
              <c:showBubbleSize val="0"/>
              <c:extLst>
                <c:ext xmlns:c15="http://schemas.microsoft.com/office/drawing/2012/chart" uri="{CE6537A1-D6FC-4f65-9D91-7224C49458BB}">
                  <c15:layout>
                    <c:manualLayout>
                      <c:w val="0.27227795643169622"/>
                      <c:h val="5.696596061012095E-2"/>
                    </c:manualLayout>
                  </c15:layout>
                </c:ext>
              </c:extLst>
            </c:dLbl>
            <c:spPr>
              <a:noFill/>
              <a:ln>
                <a:noFill/>
              </a:ln>
              <a:effectLst/>
            </c:spPr>
            <c:dLblPos val="t"/>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'Performance Analysis'!$C$6</c:f>
              <c:numCache>
                <c:formatCode>#,##0</c:formatCode>
                <c:ptCount val="1"/>
                <c:pt idx="0">
                  <c:v>9168.2000000000007</c:v>
                </c:pt>
              </c:numCache>
            </c:numRef>
          </c:xVal>
          <c:yVal>
            <c:numRef>
              <c:f>'Performance Analysis'!$E$15</c:f>
              <c:numCache>
                <c:formatCode>#,##0</c:formatCode>
                <c:ptCount val="1"/>
                <c:pt idx="0">
                  <c:v>354000</c:v>
                </c:pt>
              </c:numCache>
            </c:numRef>
          </c:yVal>
          <c:smooth val="0"/>
        </c:ser>
        <c:ser>
          <c:idx val="10"/>
          <c:order val="3"/>
          <c:tx>
            <c:strRef>
              <c:f>'Performance Analysis'!$B$7</c:f>
              <c:strCache>
                <c:ptCount val="1"/>
                <c:pt idx="0">
                  <c:v>IBM Security Network Protection XGS 7100</c:v>
                </c:pt>
              </c:strCache>
            </c:strRef>
          </c:tx>
          <c:spPr>
            <a:ln w="47625">
              <a:noFill/>
            </a:ln>
          </c:spPr>
          <c:marker>
            <c:symbol val="circle"/>
            <c:size val="9"/>
            <c:spPr>
              <a:solidFill>
                <a:srgbClr val="4F81BD"/>
              </a:solidFill>
              <a:ln>
                <a:solidFill>
                  <a:srgbClr val="4F81BD"/>
                </a:solidFill>
              </a:ln>
            </c:spPr>
          </c:marker>
          <c:dLbls>
            <c:dLbl>
              <c:idx val="0"/>
              <c:layout/>
              <c:spPr>
                <a:noFill/>
                <a:ln>
                  <a:noFill/>
                </a:ln>
                <a:effectLst/>
              </c:spPr>
              <c:txPr>
                <a:bodyPr wrap="square" lIns="38100" tIns="19050" rIns="38100" bIns="19050" anchor="ctr">
                  <a:noAutofit/>
                </a:bodyPr>
                <a:lstStyle/>
                <a:p>
                  <a:pPr>
                    <a:defRPr/>
                  </a:pPr>
                  <a:endParaRPr lang="en-US"/>
                </a:p>
              </c:txPr>
              <c:dLblPos val="t"/>
              <c:showLegendKey val="0"/>
              <c:showVal val="0"/>
              <c:showCatName val="0"/>
              <c:showSerName val="1"/>
              <c:showPercent val="0"/>
              <c:showBubbleSize val="0"/>
              <c:extLst>
                <c:ext xmlns:c15="http://schemas.microsoft.com/office/drawing/2012/chart" uri="{CE6537A1-D6FC-4f65-9D91-7224C49458BB}">
                  <c15:layout>
                    <c:manualLayout>
                      <c:w val="0.29057809826610864"/>
                      <c:h val="7.5177584846093132E-2"/>
                    </c:manualLayout>
                  </c15:layout>
                </c:ext>
              </c:extLst>
            </c:dLbl>
            <c:spPr>
              <a:noFill/>
              <a:ln>
                <a:noFill/>
              </a:ln>
              <a:effectLst/>
            </c:spPr>
            <c:dLblPos val="t"/>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'Performance Analysis'!$C$7</c:f>
              <c:numCache>
                <c:formatCode>#,##0</c:formatCode>
                <c:ptCount val="1"/>
                <c:pt idx="0">
                  <c:v>24194</c:v>
                </c:pt>
              </c:numCache>
            </c:numRef>
          </c:xVal>
          <c:yVal>
            <c:numRef>
              <c:f>'Performance Analysis'!$E$16</c:f>
              <c:numCache>
                <c:formatCode>#,##0</c:formatCode>
                <c:ptCount val="1"/>
                <c:pt idx="0">
                  <c:v>583900</c:v>
                </c:pt>
              </c:numCache>
            </c:numRef>
          </c:yVal>
          <c:smooth val="0"/>
        </c:ser>
        <c:ser>
          <c:idx val="11"/>
          <c:order val="4"/>
          <c:tx>
            <c:strRef>
              <c:f>'Performance Analysis'!$B$8</c:f>
              <c:strCache>
                <c:ptCount val="1"/>
                <c:pt idx="0">
                  <c:v>Palo Alto Networks PA-5020</c:v>
                </c:pt>
              </c:strCache>
            </c:strRef>
          </c:tx>
          <c:spPr>
            <a:ln w="47625">
              <a:noFill/>
            </a:ln>
          </c:spPr>
          <c:marker>
            <c:symbol val="circle"/>
            <c:size val="9"/>
            <c:spPr>
              <a:solidFill>
                <a:srgbClr val="4F81BD"/>
              </a:solidFill>
              <a:ln>
                <a:solidFill>
                  <a:srgbClr val="4F81BD"/>
                </a:solidFill>
              </a:ln>
            </c:spPr>
          </c:marker>
          <c:dLbls>
            <c:spPr>
              <a:noFill/>
              <a:ln>
                <a:noFill/>
              </a:ln>
              <a:effectLst/>
            </c:spPr>
            <c:dLblPos val="t"/>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'Performance Analysis'!$C$8</c:f>
              <c:numCache>
                <c:formatCode>#,##0</c:formatCode>
                <c:ptCount val="1"/>
                <c:pt idx="0">
                  <c:v>2972.82</c:v>
                </c:pt>
              </c:numCache>
            </c:numRef>
          </c:xVal>
          <c:yVal>
            <c:numRef>
              <c:f>'Performance Analysis'!$E$17</c:f>
              <c:numCache>
                <c:formatCode>#,##0</c:formatCode>
                <c:ptCount val="1"/>
                <c:pt idx="0">
                  <c:v>12005</c:v>
                </c:pt>
              </c:numCache>
            </c:numRef>
          </c:yVal>
          <c:smooth val="0"/>
        </c:ser>
        <c:ser>
          <c:idx val="2"/>
          <c:order val="5"/>
          <c:tx>
            <c:strRef>
              <c:f>'Performance Analysis'!$B$5</c:f>
              <c:strCache>
                <c:ptCount val="1"/>
                <c:pt idx="0">
                  <c:v>HP TippingPoint S7500NX</c:v>
                </c:pt>
              </c:strCache>
            </c:strRef>
          </c:tx>
          <c:spPr>
            <a:ln w="47625">
              <a:noFill/>
            </a:ln>
          </c:spPr>
          <c:marker>
            <c:symbol val="circle"/>
            <c:size val="9"/>
            <c:spPr>
              <a:solidFill>
                <a:srgbClr val="4F81BD"/>
              </a:solidFill>
              <a:ln>
                <a:noFill/>
              </a:ln>
            </c:spPr>
          </c:marker>
          <c:dLbls>
            <c:spPr>
              <a:noFill/>
              <a:ln>
                <a:noFill/>
              </a:ln>
              <a:effectLst/>
            </c:spPr>
            <c:dLblPos val="t"/>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'Performance Analysis'!$C$5</c:f>
              <c:numCache>
                <c:formatCode>#,##0</c:formatCode>
                <c:ptCount val="1"/>
                <c:pt idx="0">
                  <c:v>18694.400000000001</c:v>
                </c:pt>
              </c:numCache>
            </c:numRef>
          </c:xVal>
          <c:yVal>
            <c:numRef>
              <c:f>'Performance Analysis'!$E$14</c:f>
              <c:numCache>
                <c:formatCode>#,##0</c:formatCode>
                <c:ptCount val="1"/>
                <c:pt idx="0">
                  <c:v>249760</c:v>
                </c:pt>
              </c:numCache>
            </c:numRef>
          </c:yVal>
          <c:smooth val="0"/>
        </c:ser>
        <c:dLbls>
          <c:showLegendKey val="0"/>
          <c:showVal val="0"/>
          <c:showCatName val="0"/>
          <c:showSerName val="0"/>
          <c:showPercent val="0"/>
          <c:showBubbleSize val="0"/>
        </c:dLbls>
        <c:axId val="509819672"/>
        <c:axId val="509821240"/>
      </c:scatterChart>
      <c:valAx>
        <c:axId val="509819672"/>
        <c:scaling>
          <c:orientation val="minMax"/>
        </c:scaling>
        <c:delete val="0"/>
        <c:axPos val="b"/>
        <c:majorGridlines>
          <c:spPr>
            <a:ln>
              <a:noFill/>
            </a:ln>
          </c:spPr>
        </c:majorGridlines>
        <c:title>
          <c:tx>
            <c:rich>
              <a:bodyPr/>
              <a:lstStyle/>
              <a:p>
                <a:pPr>
                  <a:defRPr/>
                </a:pPr>
                <a:r>
                  <a:rPr lang="en-US"/>
                  <a:t>NSS-Tested Throughput (Mbps)</a:t>
                </a:r>
              </a:p>
            </c:rich>
          </c:tx>
          <c:layout>
            <c:manualLayout>
              <c:xMode val="edge"/>
              <c:yMode val="edge"/>
              <c:x val="0.405210673665792"/>
              <c:y val="0.94683544303797496"/>
            </c:manualLayout>
          </c:layout>
          <c:overlay val="0"/>
        </c:title>
        <c:numFmt formatCode="#,##0" sourceLinked="1"/>
        <c:majorTickMark val="out"/>
        <c:minorTickMark val="none"/>
        <c:tickLblPos val="nextTo"/>
        <c:spPr>
          <a:ln>
            <a:solidFill>
              <a:schemeClr val="bg1">
                <a:lumMod val="85000"/>
              </a:schemeClr>
            </a:solidFill>
          </a:ln>
        </c:spPr>
        <c:crossAx val="509821240"/>
        <c:crosses val="autoZero"/>
        <c:crossBetween val="midCat"/>
      </c:valAx>
      <c:valAx>
        <c:axId val="509821240"/>
        <c:scaling>
          <c:orientation val="minMax"/>
        </c:scaling>
        <c:delete val="0"/>
        <c:axPos val="l"/>
        <c:majorGridlines>
          <c:spPr>
            <a:ln>
              <a:noFill/>
            </a:ln>
          </c:spPr>
        </c:majorGridlines>
        <c:title>
          <c:tx>
            <c:rich>
              <a:bodyPr rot="-5400000" vert="horz"/>
              <a:lstStyle/>
              <a:p>
                <a:pPr>
                  <a:defRPr/>
                </a:pPr>
                <a:r>
                  <a:rPr lang="en-US"/>
                  <a:t>Maximum TCP Connections per Second</a:t>
                </a:r>
              </a:p>
            </c:rich>
          </c:tx>
          <c:layout>
            <c:manualLayout>
              <c:xMode val="edge"/>
              <c:yMode val="edge"/>
              <c:x val="1.2619006343310217E-2"/>
              <c:y val="0.14150518070519996"/>
            </c:manualLayout>
          </c:layout>
          <c:overlay val="0"/>
        </c:title>
        <c:numFmt formatCode="#,##0" sourceLinked="1"/>
        <c:majorTickMark val="out"/>
        <c:minorTickMark val="none"/>
        <c:tickLblPos val="nextTo"/>
        <c:spPr>
          <a:ln>
            <a:solidFill>
              <a:schemeClr val="bg1">
                <a:lumMod val="85000"/>
              </a:schemeClr>
            </a:solidFill>
          </a:ln>
        </c:spPr>
        <c:crossAx val="509819672"/>
        <c:crosses val="autoZero"/>
        <c:crossBetween val="midCat"/>
      </c:valAx>
    </c:plotArea>
    <c:plotVisOnly val="1"/>
    <c:dispBlanksAs val="gap"/>
    <c:showDLblsOverMax val="0"/>
  </c:chart>
  <c:spPr>
    <a:ln>
      <a:noFill/>
    </a:ln>
  </c:spPr>
  <c:txPr>
    <a:bodyPr/>
    <a:lstStyle/>
    <a:p>
      <a:pPr>
        <a:defRPr sz="1050">
          <a:latin typeface="+mn-lt"/>
          <a:cs typeface="Verdana"/>
        </a:defRPr>
      </a:pPr>
      <a:endParaRPr lang="en-US"/>
    </a:p>
  </c:txPr>
  <c:printSettings>
    <c:headerFooter/>
    <c:pageMargins b="1" l="0.75" r="0.75"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330164181604958"/>
          <c:y val="6.7162581679685168E-2"/>
          <c:w val="0.71148475456525384"/>
          <c:h val="0.77581356702895576"/>
        </c:manualLayout>
      </c:layout>
      <c:barChart>
        <c:barDir val="bar"/>
        <c:grouping val="clustered"/>
        <c:varyColors val="0"/>
        <c:ser>
          <c:idx val="0"/>
          <c:order val="0"/>
          <c:tx>
            <c:strRef>
              <c:f>'Performance Analysis'!$O$20</c:f>
              <c:strCache>
                <c:ptCount val="1"/>
                <c:pt idx="0">
                  <c:v>10 KB Response (Mbps)</c:v>
                </c:pt>
              </c:strCache>
            </c:strRef>
          </c:tx>
          <c:spPr>
            <a:effectLst>
              <a:outerShdw blurRad="50800" dist="38100" dir="2700000" algn="tl" rotWithShape="0">
                <a:prstClr val="black">
                  <a:alpha val="40000"/>
                </a:prstClr>
              </a:outerShdw>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'Performance Analysis'!$B$21:$B$26</c:f>
              <c:strCache>
                <c:ptCount val="6"/>
                <c:pt idx="0">
                  <c:v>Cisco FirePOWER 8350</c:v>
                </c:pt>
                <c:pt idx="1">
                  <c:v>Fortinet FortiGate-1500D</c:v>
                </c:pt>
                <c:pt idx="2">
                  <c:v>HP TippingPoint S7500NX</c:v>
                </c:pt>
                <c:pt idx="3">
                  <c:v>IBM Security Network Protection XGS 5100</c:v>
                </c:pt>
                <c:pt idx="4">
                  <c:v>IBM Security Network Protection XGS 7100</c:v>
                </c:pt>
                <c:pt idx="5">
                  <c:v>Palo Alto Networks PA-5020</c:v>
                </c:pt>
              </c:strCache>
            </c:strRef>
          </c:cat>
          <c:val>
            <c:numRef>
              <c:f>'Performance Analysis'!$O$21:$O$26</c:f>
              <c:numCache>
                <c:formatCode>#,##0</c:formatCode>
                <c:ptCount val="6"/>
                <c:pt idx="0">
                  <c:v>20000</c:v>
                </c:pt>
                <c:pt idx="1">
                  <c:v>3898</c:v>
                </c:pt>
                <c:pt idx="2">
                  <c:v>9562</c:v>
                </c:pt>
                <c:pt idx="3">
                  <c:v>3282</c:v>
                </c:pt>
                <c:pt idx="4">
                  <c:v>9686</c:v>
                </c:pt>
                <c:pt idx="5">
                  <c:v>1380.5</c:v>
                </c:pt>
              </c:numCache>
            </c:numRef>
          </c:val>
        </c:ser>
        <c:dLbls>
          <c:showLegendKey val="0"/>
          <c:showVal val="0"/>
          <c:showCatName val="0"/>
          <c:showSerName val="0"/>
          <c:showPercent val="0"/>
          <c:showBubbleSize val="0"/>
        </c:dLbls>
        <c:gapWidth val="150"/>
        <c:axId val="509820848"/>
        <c:axId val="509814968"/>
      </c:barChart>
      <c:catAx>
        <c:axId val="509820848"/>
        <c:scaling>
          <c:orientation val="maxMin"/>
        </c:scaling>
        <c:delete val="0"/>
        <c:axPos val="l"/>
        <c:numFmt formatCode="General" sourceLinked="0"/>
        <c:majorTickMark val="out"/>
        <c:minorTickMark val="none"/>
        <c:tickLblPos val="nextTo"/>
        <c:crossAx val="509814968"/>
        <c:crosses val="autoZero"/>
        <c:auto val="1"/>
        <c:lblAlgn val="ctr"/>
        <c:lblOffset val="100"/>
        <c:noMultiLvlLbl val="0"/>
      </c:catAx>
      <c:valAx>
        <c:axId val="509814968"/>
        <c:scaling>
          <c:orientation val="minMax"/>
        </c:scaling>
        <c:delete val="0"/>
        <c:axPos val="b"/>
        <c:majorGridlines>
          <c:spPr>
            <a:ln>
              <a:noFill/>
            </a:ln>
          </c:spPr>
        </c:majorGridlines>
        <c:numFmt formatCode="#,##0" sourceLinked="1"/>
        <c:majorTickMark val="none"/>
        <c:minorTickMark val="none"/>
        <c:tickLblPos val="nextTo"/>
        <c:crossAx val="509820848"/>
        <c:crosses val="max"/>
        <c:crossBetween val="between"/>
      </c:valAx>
      <c:dTable>
        <c:showHorzBorder val="1"/>
        <c:showVertBorder val="1"/>
        <c:showOutline val="1"/>
        <c:showKeys val="1"/>
      </c:dTable>
      <c:spPr>
        <a:ln>
          <a:noFill/>
        </a:ln>
      </c:spPr>
    </c:plotArea>
    <c:plotVisOnly val="1"/>
    <c:dispBlanksAs val="gap"/>
    <c:showDLblsOverMax val="0"/>
  </c:chart>
  <c:spPr>
    <a:ln>
      <a:noFill/>
    </a:ln>
  </c:spPr>
  <c:txPr>
    <a:bodyPr/>
    <a:lstStyle/>
    <a:p>
      <a:pPr>
        <a:defRPr sz="1000">
          <a:latin typeface="+mn-lt"/>
          <a:cs typeface="Verdana"/>
        </a:defRPr>
      </a:pPr>
      <a:endParaRPr lang="en-US"/>
    </a:p>
  </c:txPr>
  <c:printSettings>
    <c:headerFooter/>
    <c:pageMargins b="1" l="0.75" r="0.75" t="1" header="0.5" footer="0.5"/>
    <c:pageSetup orientation="portrait" horizontalDpi="-4" verticalDpi="-4"/>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330164181604958"/>
          <c:y val="6.7162581679685168E-2"/>
          <c:w val="0.71148475456525384"/>
          <c:h val="0.77581356702895576"/>
        </c:manualLayout>
      </c:layout>
      <c:barChart>
        <c:barDir val="bar"/>
        <c:grouping val="clustered"/>
        <c:varyColors val="0"/>
        <c:ser>
          <c:idx val="0"/>
          <c:order val="0"/>
          <c:tx>
            <c:strRef>
              <c:f>'Performance Analysis'!$P$20</c:f>
              <c:strCache>
                <c:ptCount val="1"/>
                <c:pt idx="0">
                  <c:v>4.5 KB Response (Mbps)</c:v>
                </c:pt>
              </c:strCache>
            </c:strRef>
          </c:tx>
          <c:spPr>
            <a:effectLst>
              <a:outerShdw blurRad="50800" dist="38100" dir="2700000" algn="tl" rotWithShape="0">
                <a:prstClr val="black">
                  <a:alpha val="40000"/>
                </a:prstClr>
              </a:outerShdw>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'Performance Analysis'!$B$21:$B$26</c:f>
              <c:strCache>
                <c:ptCount val="6"/>
                <c:pt idx="0">
                  <c:v>Cisco FirePOWER 8350</c:v>
                </c:pt>
                <c:pt idx="1">
                  <c:v>Fortinet FortiGate-1500D</c:v>
                </c:pt>
                <c:pt idx="2">
                  <c:v>HP TippingPoint S7500NX</c:v>
                </c:pt>
                <c:pt idx="3">
                  <c:v>IBM Security Network Protection XGS 5100</c:v>
                </c:pt>
                <c:pt idx="4">
                  <c:v>IBM Security Network Protection XGS 7100</c:v>
                </c:pt>
                <c:pt idx="5">
                  <c:v>Palo Alto Networks PA-5020</c:v>
                </c:pt>
              </c:strCache>
            </c:strRef>
          </c:cat>
          <c:val>
            <c:numRef>
              <c:f>'Performance Analysis'!$P$21:$P$26</c:f>
              <c:numCache>
                <c:formatCode>#,##0</c:formatCode>
                <c:ptCount val="6"/>
                <c:pt idx="0">
                  <c:v>15710</c:v>
                </c:pt>
                <c:pt idx="1">
                  <c:v>2411.5</c:v>
                </c:pt>
                <c:pt idx="2">
                  <c:v>6521.5</c:v>
                </c:pt>
                <c:pt idx="3">
                  <c:v>2139</c:v>
                </c:pt>
                <c:pt idx="4">
                  <c:v>6478.5</c:v>
                </c:pt>
                <c:pt idx="5">
                  <c:v>696</c:v>
                </c:pt>
              </c:numCache>
            </c:numRef>
          </c:val>
        </c:ser>
        <c:dLbls>
          <c:showLegendKey val="0"/>
          <c:showVal val="0"/>
          <c:showCatName val="0"/>
          <c:showSerName val="0"/>
          <c:showPercent val="0"/>
          <c:showBubbleSize val="0"/>
        </c:dLbls>
        <c:gapWidth val="150"/>
        <c:axId val="509816144"/>
        <c:axId val="509820456"/>
      </c:barChart>
      <c:catAx>
        <c:axId val="509816144"/>
        <c:scaling>
          <c:orientation val="maxMin"/>
        </c:scaling>
        <c:delete val="0"/>
        <c:axPos val="l"/>
        <c:numFmt formatCode="General" sourceLinked="0"/>
        <c:majorTickMark val="out"/>
        <c:minorTickMark val="none"/>
        <c:tickLblPos val="nextTo"/>
        <c:crossAx val="509820456"/>
        <c:crosses val="autoZero"/>
        <c:auto val="1"/>
        <c:lblAlgn val="ctr"/>
        <c:lblOffset val="100"/>
        <c:noMultiLvlLbl val="0"/>
      </c:catAx>
      <c:valAx>
        <c:axId val="509820456"/>
        <c:scaling>
          <c:orientation val="minMax"/>
        </c:scaling>
        <c:delete val="0"/>
        <c:axPos val="b"/>
        <c:majorGridlines>
          <c:spPr>
            <a:ln>
              <a:noFill/>
            </a:ln>
          </c:spPr>
        </c:majorGridlines>
        <c:numFmt formatCode="#,##0" sourceLinked="1"/>
        <c:majorTickMark val="none"/>
        <c:minorTickMark val="none"/>
        <c:tickLblPos val="nextTo"/>
        <c:crossAx val="509816144"/>
        <c:crosses val="max"/>
        <c:crossBetween val="between"/>
      </c:valAx>
      <c:dTable>
        <c:showHorzBorder val="1"/>
        <c:showVertBorder val="1"/>
        <c:showOutline val="1"/>
        <c:showKeys val="1"/>
      </c:dTable>
      <c:spPr>
        <a:ln>
          <a:noFill/>
        </a:ln>
      </c:spPr>
    </c:plotArea>
    <c:plotVisOnly val="1"/>
    <c:dispBlanksAs val="gap"/>
    <c:showDLblsOverMax val="0"/>
  </c:chart>
  <c:spPr>
    <a:ln>
      <a:noFill/>
    </a:ln>
  </c:spPr>
  <c:txPr>
    <a:bodyPr/>
    <a:lstStyle/>
    <a:p>
      <a:pPr>
        <a:defRPr sz="1000">
          <a:latin typeface="+mn-lt"/>
          <a:cs typeface="Verdana"/>
        </a:defRPr>
      </a:pPr>
      <a:endParaRPr lang="en-US"/>
    </a:p>
  </c:tx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1884956103114601E-2"/>
          <c:y val="3.71736082906442E-2"/>
          <c:w val="0.8646069202812523"/>
          <c:h val="0.89322022351199404"/>
        </c:manualLayout>
      </c:layout>
      <c:scatterChart>
        <c:scatterStyle val="lineMarker"/>
        <c:varyColors val="0"/>
        <c:ser>
          <c:idx val="3"/>
          <c:order val="0"/>
          <c:tx>
            <c:strRef>
              <c:f>SVM!$L$52</c:f>
              <c:strCache>
                <c:ptCount val="1"/>
                <c:pt idx="0">
                  <c:v>IBM Security Network Protection XGS 5100</c:v>
                </c:pt>
              </c:strCache>
            </c:strRef>
          </c:tx>
          <c:spPr>
            <a:ln w="19050">
              <a:solidFill>
                <a:srgbClr val="FF0000"/>
              </a:solidFill>
            </a:ln>
          </c:spPr>
          <c:marker>
            <c:symbol val="circle"/>
            <c:size val="11"/>
            <c:spPr>
              <a:solidFill>
                <a:srgbClr val="4F81BD"/>
              </a:solidFill>
              <a:ln w="15875">
                <a:noFill/>
              </a:ln>
            </c:spPr>
          </c:marker>
          <c:dLbls>
            <c:spPr>
              <a:noFill/>
              <a:ln>
                <a:noFill/>
              </a:ln>
              <a:effectLst/>
            </c:spPr>
            <c:dLblPos val="l"/>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SVM!$T$52</c:f>
              <c:numCache>
                <c:formatCode>"$"#,##0_);\("$"#,##0\)</c:formatCode>
                <c:ptCount val="1"/>
                <c:pt idx="0">
                  <c:v>20</c:v>
                </c:pt>
              </c:numCache>
            </c:numRef>
          </c:xVal>
          <c:yVal>
            <c:numRef>
              <c:f>SVM!$S$52</c:f>
              <c:numCache>
                <c:formatCode>0.0%</c:formatCode>
                <c:ptCount val="1"/>
                <c:pt idx="0">
                  <c:v>0.96755286090621706</c:v>
                </c:pt>
              </c:numCache>
            </c:numRef>
          </c:yVal>
          <c:smooth val="0"/>
        </c:ser>
        <c:ser>
          <c:idx val="4"/>
          <c:order val="1"/>
          <c:tx>
            <c:strRef>
              <c:f>SVM!$L$53</c:f>
              <c:strCache>
                <c:ptCount val="1"/>
                <c:pt idx="0">
                  <c:v>IBM Security Network Protection XGS 7100</c:v>
                </c:pt>
              </c:strCache>
            </c:strRef>
          </c:tx>
          <c:spPr>
            <a:ln w="19050">
              <a:gradFill>
                <a:gsLst>
                  <a:gs pos="18000">
                    <a:srgbClr val="4F81BD">
                      <a:lumMod val="5000"/>
                      <a:lumOff val="95000"/>
                    </a:srgbClr>
                  </a:gs>
                  <a:gs pos="100000">
                    <a:srgbClr val="9BBB59">
                      <a:lumMod val="75000"/>
                    </a:srgbClr>
                  </a:gs>
                </a:gsLst>
                <a:lin ang="5400000" scaled="1"/>
              </a:gradFill>
            </a:ln>
          </c:spPr>
          <c:marker>
            <c:symbol val="circle"/>
            <c:size val="11"/>
            <c:spPr>
              <a:solidFill>
                <a:srgbClr val="4F81BD"/>
              </a:solidFill>
              <a:ln w="15875">
                <a:noFill/>
              </a:ln>
            </c:spPr>
          </c:marker>
          <c:dPt>
            <c:idx val="0"/>
            <c:bubble3D val="0"/>
            <c:spPr>
              <a:ln w="19050">
                <a:gradFill flip="none" rotWithShape="1">
                  <a:gsLst>
                    <a:gs pos="18000">
                      <a:srgbClr val="4F81BD">
                        <a:lumMod val="5000"/>
                        <a:lumOff val="95000"/>
                      </a:srgbClr>
                    </a:gs>
                    <a:gs pos="100000">
                      <a:srgbClr val="9BBB59">
                        <a:lumMod val="75000"/>
                      </a:srgbClr>
                    </a:gs>
                  </a:gsLst>
                  <a:lin ang="5400000" scaled="1"/>
                  <a:tileRect/>
                </a:gradFill>
              </a:ln>
            </c:spPr>
          </c:dPt>
          <c:dPt>
            <c:idx val="1"/>
            <c:bubble3D val="0"/>
            <c:spPr>
              <a:ln w="19050">
                <a:gradFill flip="none" rotWithShape="1">
                  <a:gsLst>
                    <a:gs pos="18000">
                      <a:srgbClr val="4F81BD">
                        <a:lumMod val="5000"/>
                        <a:lumOff val="95000"/>
                      </a:srgbClr>
                    </a:gs>
                    <a:gs pos="100000">
                      <a:srgbClr val="9BBB59">
                        <a:lumMod val="75000"/>
                      </a:srgbClr>
                    </a:gs>
                  </a:gsLst>
                  <a:lin ang="5400000" scaled="1"/>
                  <a:tileRect/>
                </a:gradFill>
              </a:ln>
            </c:spPr>
          </c:dPt>
          <c:dLbls>
            <c:spPr>
              <a:noFill/>
              <a:ln>
                <a:noFill/>
              </a:ln>
              <a:effectLst/>
            </c:spPr>
            <c:dLblPos val="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trendline>
            <c:spPr>
              <a:ln>
                <a:gradFill>
                  <a:gsLst>
                    <a:gs pos="27000">
                      <a:srgbClr val="4F81BD">
                        <a:lumMod val="5000"/>
                        <a:lumOff val="95000"/>
                      </a:srgbClr>
                    </a:gs>
                    <a:gs pos="100000">
                      <a:srgbClr val="9BBB59">
                        <a:lumMod val="75000"/>
                      </a:srgbClr>
                    </a:gs>
                  </a:gsLst>
                  <a:lin ang="5400000" scaled="1"/>
                </a:gradFill>
              </a:ln>
            </c:spPr>
            <c:trendlineType val="linear"/>
            <c:dispRSqr val="0"/>
            <c:dispEq val="0"/>
          </c:trendline>
          <c:xVal>
            <c:numRef>
              <c:f>SVM!$T$53</c:f>
              <c:numCache>
                <c:formatCode>"$"#,##0_);\("$"#,##0\)</c:formatCode>
                <c:ptCount val="1"/>
                <c:pt idx="0">
                  <c:v>20</c:v>
                </c:pt>
              </c:numCache>
            </c:numRef>
          </c:xVal>
          <c:yVal>
            <c:numRef>
              <c:f>SVM!$S$53</c:f>
              <c:numCache>
                <c:formatCode>0.0%</c:formatCode>
                <c:ptCount val="1"/>
                <c:pt idx="0">
                  <c:v>0.96755286090621706</c:v>
                </c:pt>
              </c:numCache>
            </c:numRef>
          </c:yVal>
          <c:smooth val="0"/>
        </c:ser>
        <c:ser>
          <c:idx val="5"/>
          <c:order val="2"/>
          <c:tx>
            <c:strRef>
              <c:f>SVM!$L$54</c:f>
              <c:strCache>
                <c:ptCount val="1"/>
                <c:pt idx="0">
                  <c:v>Palo Alto Networks PA-5020</c:v>
                </c:pt>
              </c:strCache>
            </c:strRef>
          </c:tx>
          <c:spPr>
            <a:ln w="19050">
              <a:gradFill flip="none" rotWithShape="1">
                <a:gsLst>
                  <a:gs pos="0">
                    <a:sysClr val="windowText" lastClr="000000"/>
                  </a:gs>
                  <a:gs pos="98000">
                    <a:srgbClr val="FFFFFF"/>
                  </a:gs>
                </a:gsLst>
                <a:lin ang="0" scaled="1"/>
                <a:tileRect/>
              </a:gradFill>
            </a:ln>
          </c:spPr>
          <c:marker>
            <c:symbol val="circle"/>
            <c:size val="10"/>
            <c:spPr>
              <a:solidFill>
                <a:srgbClr val="4F81BD"/>
              </a:solidFill>
              <a:ln w="15875">
                <a:noFill/>
              </a:ln>
            </c:spPr>
          </c:marker>
          <c:dPt>
            <c:idx val="0"/>
            <c:bubble3D val="0"/>
          </c:dPt>
          <c:dPt>
            <c:idx val="1"/>
            <c:bubble3D val="0"/>
            <c:spPr>
              <a:ln w="19050">
                <a:gradFill flip="none" rotWithShape="1">
                  <a:gsLst>
                    <a:gs pos="0">
                      <a:srgbClr val="9BBB59">
                        <a:lumMod val="75000"/>
                      </a:srgbClr>
                    </a:gs>
                    <a:gs pos="98000">
                      <a:srgbClr val="FFFFFF"/>
                    </a:gs>
                  </a:gsLst>
                  <a:lin ang="0" scaled="1"/>
                  <a:tileRect/>
                </a:gradFill>
              </a:ln>
            </c:spPr>
          </c:dPt>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SVM!$T$54</c:f>
              <c:numCache>
                <c:formatCode>"$"#,##0_);\("$"#,##0\)</c:formatCode>
                <c:ptCount val="1"/>
                <c:pt idx="0">
                  <c:v>25</c:v>
                </c:pt>
              </c:numCache>
            </c:numRef>
          </c:xVal>
          <c:yVal>
            <c:numRef>
              <c:f>SVM!$S$54</c:f>
              <c:numCache>
                <c:formatCode>0.0%</c:formatCode>
                <c:ptCount val="1"/>
                <c:pt idx="0">
                  <c:v>0.987881981032666</c:v>
                </c:pt>
              </c:numCache>
            </c:numRef>
          </c:yVal>
          <c:smooth val="0"/>
        </c:ser>
        <c:ser>
          <c:idx val="11"/>
          <c:order val="3"/>
          <c:tx>
            <c:v>Average Value</c:v>
          </c:tx>
          <c:spPr>
            <a:ln w="19050">
              <a:solidFill>
                <a:srgbClr val="C0504D">
                  <a:alpha val="85000"/>
                </a:srgbClr>
              </a:solidFill>
              <a:prstDash val="dash"/>
            </a:ln>
          </c:spPr>
          <c:marker>
            <c:symbol val="none"/>
          </c:marker>
          <c:dLbls>
            <c:dLbl>
              <c:idx val="0"/>
              <c:layout>
                <c:manualLayout>
                  <c:x val="-4.0971197059842604E-3"/>
                  <c:y val="-3.7478847990349701E-2"/>
                </c:manualLayout>
              </c:layout>
              <c:tx>
                <c:rich>
                  <a:bodyPr/>
                  <a:lstStyle/>
                  <a:p>
                    <a:r>
                      <a:rPr lang="en-US">
                        <a:solidFill>
                          <a:srgbClr val="CA0000"/>
                        </a:solidFill>
                      </a:rPr>
                      <a:t>Median</a:t>
                    </a:r>
                  </a:p>
                </c:rich>
              </c:tx>
              <c:dLblPos val="r"/>
              <c:showLegendKey val="0"/>
              <c:showVal val="0"/>
              <c:showCatName val="0"/>
              <c:showSerName val="1"/>
              <c:showPercent val="0"/>
              <c:showBubbleSize val="0"/>
              <c:extLst>
                <c:ext xmlns:c15="http://schemas.microsoft.com/office/drawing/2012/chart" uri="{CE6537A1-D6FC-4f65-9D91-7224C49458BB}">
                  <c15:layout/>
                </c:ext>
              </c:extLst>
            </c:dLbl>
            <c:dLbl>
              <c:idx val="1"/>
              <c:delete val="1"/>
              <c:extLst>
                <c:ext xmlns:c15="http://schemas.microsoft.com/office/drawing/2012/chart" uri="{CE6537A1-D6FC-4f65-9D91-7224C49458BB}"/>
              </c:extLst>
            </c:dLbl>
            <c:spPr>
              <a:noFill/>
              <a:ln>
                <a:noFill/>
              </a:ln>
              <a:effectLst/>
            </c:spPr>
            <c:txPr>
              <a:bodyPr rot="-5400000" vertOverflow="clip" horzOverflow="clip" vert="horz">
                <a:spAutoFit/>
              </a:bodyPr>
              <a:lstStyle/>
              <a:p>
                <a:pPr>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(SVM!$N$56,SVM!$R$56)</c:f>
              <c:numCache>
                <c:formatCode>"$"#,##0.00_);\("$"#,##0.00\)</c:formatCode>
                <c:ptCount val="2"/>
                <c:pt idx="0">
                  <c:v>20</c:v>
                </c:pt>
                <c:pt idx="1">
                  <c:v>20</c:v>
                </c:pt>
              </c:numCache>
            </c:numRef>
          </c:xVal>
          <c:yVal>
            <c:numRef>
              <c:f>(SVM!$N$57,SVM!$R$57)</c:f>
              <c:numCache>
                <c:formatCode>0%</c:formatCode>
                <c:ptCount val="2"/>
                <c:pt idx="0">
                  <c:v>0.8</c:v>
                </c:pt>
                <c:pt idx="1">
                  <c:v>1</c:v>
                </c:pt>
              </c:numCache>
            </c:numRef>
          </c:yVal>
          <c:smooth val="0"/>
        </c:ser>
        <c:ser>
          <c:idx val="10"/>
          <c:order val="4"/>
          <c:tx>
            <c:v>Average Protection</c:v>
          </c:tx>
          <c:spPr>
            <a:ln w="19050">
              <a:solidFill>
                <a:srgbClr val="C0504D">
                  <a:alpha val="85000"/>
                </a:srgbClr>
              </a:solidFill>
              <a:prstDash val="dash"/>
            </a:ln>
          </c:spPr>
          <c:marker>
            <c:symbol val="none"/>
          </c:marker>
          <c:dLbls>
            <c:dLbl>
              <c:idx val="0"/>
              <c:layout>
                <c:manualLayout>
                  <c:x val="-5.23999471851785E-2"/>
                  <c:y val="1.4185110102144001E-2"/>
                </c:manualLayout>
              </c:layout>
              <c:tx>
                <c:rich>
                  <a:bodyPr/>
                  <a:lstStyle/>
                  <a:p>
                    <a:r>
                      <a:rPr lang="en-US">
                        <a:solidFill>
                          <a:srgbClr val="CA0000"/>
                        </a:solidFill>
                      </a:rPr>
                      <a:t>Average</a:t>
                    </a:r>
                  </a:p>
                </c:rich>
              </c:tx>
              <c:dLblPos val="r"/>
              <c:showLegendKey val="0"/>
              <c:showVal val="0"/>
              <c:showCatName val="0"/>
              <c:showSerName val="1"/>
              <c:showPercent val="0"/>
              <c:showBubbleSize val="0"/>
              <c:extLst>
                <c:ext xmlns:c15="http://schemas.microsoft.com/office/drawing/2012/chart" uri="{CE6537A1-D6FC-4f65-9D91-7224C49458BB}">
                  <c15:layout/>
                </c:ext>
              </c:extLst>
            </c:dLbl>
            <c:dLbl>
              <c:idx val="1"/>
              <c:delete val="1"/>
              <c:extLst>
                <c:ext xmlns:c15="http://schemas.microsoft.com/office/drawing/2012/chart" uri="{CE6537A1-D6FC-4f65-9D91-7224C49458BB}"/>
              </c:extLst>
            </c:dLbl>
            <c:spPr>
              <a:noFill/>
            </c:spPr>
            <c:dLblPos val="b"/>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(SVM!$M$57,SVM!$Q$57)</c:f>
              <c:numCache>
                <c:formatCode>_("$"* #,##0_);_("$"* \(#,##0\);_("$"* "-"??_);_(@_)</c:formatCode>
                <c:ptCount val="2"/>
                <c:pt idx="0" formatCode="_(&quot;$&quot;* #,##0.00_);_(&quot;$&quot;* \(#,##0.00\);_(&quot;$&quot;* &quot;-&quot;??_);_(@_)">
                  <c:v>0</c:v>
                </c:pt>
                <c:pt idx="1">
                  <c:v>31.25</c:v>
                </c:pt>
              </c:numCache>
            </c:numRef>
          </c:xVal>
          <c:yVal>
            <c:numRef>
              <c:f>(SVM!$Q$56,SVM!$M$56)</c:f>
              <c:numCache>
                <c:formatCode>0.0%</c:formatCode>
                <c:ptCount val="2"/>
                <c:pt idx="0">
                  <c:v>0.96266225124784344</c:v>
                </c:pt>
                <c:pt idx="1">
                  <c:v>0.96266225124784344</c:v>
                </c:pt>
              </c:numCache>
            </c:numRef>
          </c:yVal>
          <c:smooth val="0"/>
        </c:ser>
        <c:ser>
          <c:idx val="12"/>
          <c:order val="5"/>
          <c:tx>
            <c:strRef>
              <c:f>SVM!$L$50</c:f>
              <c:strCache>
                <c:ptCount val="1"/>
                <c:pt idx="0">
                  <c:v>Fortinet FortiGate-1500D</c:v>
                </c:pt>
              </c:strCache>
            </c:strRef>
          </c:tx>
          <c:marker>
            <c:symbol val="circle"/>
            <c:size val="11"/>
            <c:spPr>
              <a:solidFill>
                <a:srgbClr val="4F81BD"/>
              </a:solidFill>
              <a:ln w="15875">
                <a:noFill/>
              </a:ln>
            </c:spPr>
          </c:marker>
          <c:dLbls>
            <c:spPr>
              <a:noFill/>
              <a:ln>
                <a:noFill/>
              </a:ln>
              <a:effectLst/>
            </c:spPr>
            <c:dLblPos val="t"/>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SVM!$T$50</c:f>
              <c:numCache>
                <c:formatCode>"$"#,##0_);\("$"#,##0\)</c:formatCode>
                <c:ptCount val="1"/>
                <c:pt idx="0">
                  <c:v>5</c:v>
                </c:pt>
              </c:numCache>
            </c:numRef>
          </c:xVal>
          <c:yVal>
            <c:numRef>
              <c:f>SVM!$S$50</c:f>
              <c:numCache>
                <c:formatCode>0.0%</c:formatCode>
                <c:ptCount val="1"/>
                <c:pt idx="0">
                  <c:v>0.99160531305383703</c:v>
                </c:pt>
              </c:numCache>
            </c:numRef>
          </c:yVal>
          <c:smooth val="0"/>
        </c:ser>
        <c:ser>
          <c:idx val="0"/>
          <c:order val="6"/>
          <c:tx>
            <c:strRef>
              <c:f>SVM!$L$51</c:f>
              <c:strCache>
                <c:ptCount val="1"/>
                <c:pt idx="0">
                  <c:v>HP TippingPoint S7500NX</c:v>
                </c:pt>
              </c:strCache>
            </c:strRef>
          </c:tx>
          <c:marker>
            <c:symbol val="circle"/>
            <c:size val="11"/>
            <c:spPr>
              <a:solidFill>
                <a:srgbClr val="4F81BD"/>
              </a:solidFill>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SVM!$T$51</c:f>
              <c:numCache>
                <c:formatCode>"$"#,##0_);\("$"#,##0\)</c:formatCode>
                <c:ptCount val="1"/>
                <c:pt idx="0">
                  <c:v>20</c:v>
                </c:pt>
              </c:numCache>
            </c:numRef>
          </c:xVal>
          <c:yVal>
            <c:numRef>
              <c:f>SVM!$S$51</c:f>
              <c:numCache>
                <c:formatCode>0.0%</c:formatCode>
                <c:ptCount val="1"/>
                <c:pt idx="0">
                  <c:v>0.86619640834260148</c:v>
                </c:pt>
              </c:numCache>
            </c:numRef>
          </c:yVal>
          <c:smooth val="0"/>
        </c:ser>
        <c:ser>
          <c:idx val="1"/>
          <c:order val="7"/>
          <c:tx>
            <c:strRef>
              <c:f>SVM!$L$49</c:f>
              <c:strCache>
                <c:ptCount val="1"/>
                <c:pt idx="0">
                  <c:v>Cisco FirePOWER 8350</c:v>
                </c:pt>
              </c:strCache>
            </c:strRef>
          </c:tx>
          <c:marker>
            <c:symbol val="circle"/>
            <c:size val="9"/>
            <c:spPr>
              <a:solidFill>
                <a:srgbClr val="4F81BD"/>
              </a:solidFill>
              <a:ln>
                <a:no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SVM!$T$49</c:f>
              <c:numCache>
                <c:formatCode>"$"#,##0_);\("$"#,##0\)</c:formatCode>
                <c:ptCount val="1"/>
                <c:pt idx="0">
                  <c:v>16</c:v>
                </c:pt>
              </c:numCache>
            </c:numRef>
          </c:xVal>
          <c:yVal>
            <c:numRef>
              <c:f>SVM!$S$49</c:f>
              <c:numCache>
                <c:formatCode>0.0%</c:formatCode>
                <c:ptCount val="1"/>
                <c:pt idx="0">
                  <c:v>0.99518408324552166</c:v>
                </c:pt>
              </c:numCache>
            </c:numRef>
          </c:yVal>
          <c:smooth val="0"/>
        </c:ser>
        <c:dLbls>
          <c:showLegendKey val="0"/>
          <c:showVal val="0"/>
          <c:showCatName val="0"/>
          <c:showSerName val="0"/>
          <c:showPercent val="0"/>
          <c:showBubbleSize val="0"/>
        </c:dLbls>
        <c:axId val="498216728"/>
        <c:axId val="498217120"/>
      </c:scatterChart>
      <c:valAx>
        <c:axId val="498216728"/>
        <c:scaling>
          <c:orientation val="maxMin"/>
          <c:max val="30"/>
        </c:scaling>
        <c:delete val="0"/>
        <c:axPos val="b"/>
        <c:majorGridlines>
          <c:spPr>
            <a:ln>
              <a:solidFill>
                <a:sysClr val="window" lastClr="FFFFFF">
                  <a:lumMod val="85000"/>
                </a:sysClr>
              </a:solidFill>
            </a:ln>
          </c:spPr>
        </c:majorGridlines>
        <c:title>
          <c:tx>
            <c:rich>
              <a:bodyPr/>
              <a:lstStyle/>
              <a:p>
                <a:pPr>
                  <a:defRPr/>
                </a:pPr>
                <a:r>
                  <a:rPr lang="en-US"/>
                  <a:t>TCO per Protected-Mbps</a:t>
                </a:r>
              </a:p>
            </c:rich>
          </c:tx>
          <c:layout/>
          <c:overlay val="0"/>
        </c:title>
        <c:numFmt formatCode="&quot;$&quot;#,##0_);\(&quot;$&quot;#,##0\)" sourceLinked="0"/>
        <c:majorTickMark val="out"/>
        <c:minorTickMark val="none"/>
        <c:tickLblPos val="nextTo"/>
        <c:crossAx val="498217120"/>
        <c:crosses val="autoZero"/>
        <c:crossBetween val="midCat"/>
      </c:valAx>
      <c:valAx>
        <c:axId val="498217120"/>
        <c:scaling>
          <c:orientation val="minMax"/>
          <c:max val="1"/>
          <c:min val="0.8"/>
        </c:scaling>
        <c:delete val="0"/>
        <c:axPos val="r"/>
        <c:majorGridlines>
          <c:spPr>
            <a:ln>
              <a:solidFill>
                <a:sysClr val="window" lastClr="FFFFFF">
                  <a:lumMod val="85000"/>
                </a:sysClr>
              </a:solidFill>
            </a:ln>
          </c:spPr>
        </c:majorGridlines>
        <c:title>
          <c:tx>
            <c:rich>
              <a:bodyPr rot="-5400000" vert="horz"/>
              <a:lstStyle/>
              <a:p>
                <a:pPr algn="ctr" rtl="0">
                  <a:defRPr/>
                </a:pPr>
                <a:r>
                  <a:rPr lang="en-US"/>
                  <a:t>Security Effectiveness </a:t>
                </a:r>
              </a:p>
            </c:rich>
          </c:tx>
          <c:layout/>
          <c:overlay val="0"/>
        </c:title>
        <c:numFmt formatCode="0%" sourceLinked="0"/>
        <c:majorTickMark val="out"/>
        <c:minorTickMark val="none"/>
        <c:tickLblPos val="nextTo"/>
        <c:crossAx val="498216728"/>
        <c:crosses val="autoZero"/>
        <c:crossBetween val="midCat"/>
      </c:valAx>
    </c:plotArea>
    <c:plotVisOnly val="1"/>
    <c:dispBlanksAs val="gap"/>
    <c:showDLblsOverMax val="0"/>
  </c:chart>
  <c:spPr>
    <a:ln>
      <a:noFill/>
    </a:ln>
  </c:spPr>
  <c:txPr>
    <a:bodyPr/>
    <a:lstStyle/>
    <a:p>
      <a:pPr>
        <a:defRPr sz="900">
          <a:latin typeface="+mn-lt"/>
          <a:cs typeface="Verdana"/>
        </a:defRPr>
      </a:pPr>
      <a:endParaRPr lang="en-US"/>
    </a:p>
  </c:txPr>
  <c:printSettings>
    <c:headerFooter/>
    <c:pageMargins b="0.750000000000002" l="0.70000000000000095" r="0.70000000000000095" t="0.750000000000002" header="0.3" footer="0.3"/>
    <c:pageSetup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330164181604958"/>
          <c:y val="6.7162581679685168E-2"/>
          <c:w val="0.71148475456525384"/>
          <c:h val="0.77581356702895576"/>
        </c:manualLayout>
      </c:layout>
      <c:barChart>
        <c:barDir val="bar"/>
        <c:grouping val="clustered"/>
        <c:varyColors val="0"/>
        <c:ser>
          <c:idx val="0"/>
          <c:order val="0"/>
          <c:tx>
            <c:strRef>
              <c:f>'Performance Analysis'!$Q$20</c:f>
              <c:strCache>
                <c:ptCount val="1"/>
                <c:pt idx="0">
                  <c:v>1.7 KB Response (Mbps)</c:v>
                </c:pt>
              </c:strCache>
            </c:strRef>
          </c:tx>
          <c:spPr>
            <a:effectLst>
              <a:outerShdw blurRad="50800" dist="38100" dir="2700000" algn="tl" rotWithShape="0">
                <a:prstClr val="black">
                  <a:alpha val="40000"/>
                </a:prstClr>
              </a:outerShdw>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'Performance Analysis'!$B$21:$B$26</c:f>
              <c:strCache>
                <c:ptCount val="6"/>
                <c:pt idx="0">
                  <c:v>Cisco FirePOWER 8350</c:v>
                </c:pt>
                <c:pt idx="1">
                  <c:v>Fortinet FortiGate-1500D</c:v>
                </c:pt>
                <c:pt idx="2">
                  <c:v>HP TippingPoint S7500NX</c:v>
                </c:pt>
                <c:pt idx="3">
                  <c:v>IBM Security Network Protection XGS 5100</c:v>
                </c:pt>
                <c:pt idx="4">
                  <c:v>IBM Security Network Protection XGS 7100</c:v>
                </c:pt>
                <c:pt idx="5">
                  <c:v>Palo Alto Networks PA-5020</c:v>
                </c:pt>
              </c:strCache>
            </c:strRef>
          </c:cat>
          <c:val>
            <c:numRef>
              <c:f>'Performance Analysis'!$Q$21:$Q$26</c:f>
              <c:numCache>
                <c:formatCode>#,##0</c:formatCode>
                <c:ptCount val="6"/>
                <c:pt idx="0">
                  <c:v>10422.5</c:v>
                </c:pt>
                <c:pt idx="1">
                  <c:v>1500.75</c:v>
                </c:pt>
                <c:pt idx="2">
                  <c:v>4040</c:v>
                </c:pt>
                <c:pt idx="3">
                  <c:v>1320</c:v>
                </c:pt>
                <c:pt idx="4">
                  <c:v>3838.25</c:v>
                </c:pt>
                <c:pt idx="5">
                  <c:v>384.22500000000002</c:v>
                </c:pt>
              </c:numCache>
            </c:numRef>
          </c:val>
        </c:ser>
        <c:dLbls>
          <c:showLegendKey val="0"/>
          <c:showVal val="0"/>
          <c:showCatName val="0"/>
          <c:showSerName val="0"/>
          <c:showPercent val="0"/>
          <c:showBubbleSize val="0"/>
        </c:dLbls>
        <c:gapWidth val="150"/>
        <c:axId val="509822416"/>
        <c:axId val="509816928"/>
      </c:barChart>
      <c:catAx>
        <c:axId val="509822416"/>
        <c:scaling>
          <c:orientation val="maxMin"/>
        </c:scaling>
        <c:delete val="0"/>
        <c:axPos val="l"/>
        <c:numFmt formatCode="General" sourceLinked="0"/>
        <c:majorTickMark val="out"/>
        <c:minorTickMark val="none"/>
        <c:tickLblPos val="nextTo"/>
        <c:crossAx val="509816928"/>
        <c:crosses val="autoZero"/>
        <c:auto val="1"/>
        <c:lblAlgn val="ctr"/>
        <c:lblOffset val="100"/>
        <c:noMultiLvlLbl val="0"/>
      </c:catAx>
      <c:valAx>
        <c:axId val="509816928"/>
        <c:scaling>
          <c:orientation val="minMax"/>
        </c:scaling>
        <c:delete val="0"/>
        <c:axPos val="b"/>
        <c:majorGridlines>
          <c:spPr>
            <a:ln>
              <a:noFill/>
            </a:ln>
          </c:spPr>
        </c:majorGridlines>
        <c:numFmt formatCode="#,##0" sourceLinked="1"/>
        <c:majorTickMark val="none"/>
        <c:minorTickMark val="none"/>
        <c:tickLblPos val="nextTo"/>
        <c:crossAx val="509822416"/>
        <c:crosses val="max"/>
        <c:crossBetween val="between"/>
      </c:valAx>
      <c:dTable>
        <c:showHorzBorder val="1"/>
        <c:showVertBorder val="1"/>
        <c:showOutline val="1"/>
        <c:showKeys val="1"/>
      </c:dTable>
      <c:spPr>
        <a:ln>
          <a:noFill/>
        </a:ln>
      </c:spPr>
    </c:plotArea>
    <c:plotVisOnly val="1"/>
    <c:dispBlanksAs val="gap"/>
    <c:showDLblsOverMax val="0"/>
  </c:chart>
  <c:spPr>
    <a:ln>
      <a:noFill/>
    </a:ln>
  </c:spPr>
  <c:txPr>
    <a:bodyPr/>
    <a:lstStyle/>
    <a:p>
      <a:pPr>
        <a:defRPr sz="1000">
          <a:latin typeface="+mn-lt"/>
          <a:cs typeface="Verdana"/>
        </a:defRPr>
      </a:pPr>
      <a:endParaRPr lang="en-US"/>
    </a:p>
  </c:txPr>
  <c:printSettings>
    <c:headerFooter/>
    <c:pageMargins b="1" l="0.75" r="0.75" t="1" header="0.5" footer="0.5"/>
    <c:pageSetup orientation="portrait" horizontalDpi="-4" verticalDpi="-4"/>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manualLayout>
          <c:layoutTarget val="inner"/>
          <c:xMode val="edge"/>
          <c:yMode val="edge"/>
          <c:x val="0.2725944178455188"/>
          <c:y val="3.5837955038228897E-2"/>
          <c:w val="0.69967923854467595"/>
          <c:h val="0.8091326761488159"/>
        </c:manualLayout>
      </c:layout>
      <c:barChart>
        <c:barDir val="bar"/>
        <c:grouping val="clustered"/>
        <c:varyColors val="0"/>
        <c:ser>
          <c:idx val="1"/>
          <c:order val="0"/>
          <c:tx>
            <c:strRef>
              <c:f>'Performance Analysis'!$D$47</c:f>
              <c:strCache>
                <c:ptCount val="1"/>
                <c:pt idx="0">
                  <c:v>“Real World” Protocol Mix (Enterprise Core)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'Performance Analysis'!$B$48:$B$53</c:f>
              <c:strCache>
                <c:ptCount val="6"/>
                <c:pt idx="0">
                  <c:v>Cisco FirePOWER 8350</c:v>
                </c:pt>
                <c:pt idx="1">
                  <c:v>Fortinet FortiGate-1500D</c:v>
                </c:pt>
                <c:pt idx="2">
                  <c:v>HP TippingPoint S7500NX</c:v>
                </c:pt>
                <c:pt idx="3">
                  <c:v>IBM Security Network Protection XGS 5100</c:v>
                </c:pt>
                <c:pt idx="4">
                  <c:v>IBM Security Network Protection XGS 7100</c:v>
                </c:pt>
                <c:pt idx="5">
                  <c:v>Palo Alto Networks PA-5020</c:v>
                </c:pt>
              </c:strCache>
            </c:strRef>
          </c:cat>
          <c:val>
            <c:numRef>
              <c:f>'Performance Analysis'!$D$48:$D$53</c:f>
              <c:numCache>
                <c:formatCode>#,##0</c:formatCode>
                <c:ptCount val="6"/>
                <c:pt idx="0">
                  <c:v>20000</c:v>
                </c:pt>
                <c:pt idx="1">
                  <c:v>20000</c:v>
                </c:pt>
                <c:pt idx="2">
                  <c:v>27060</c:v>
                </c:pt>
                <c:pt idx="3">
                  <c:v>7061</c:v>
                </c:pt>
                <c:pt idx="4">
                  <c:v>25210</c:v>
                </c:pt>
                <c:pt idx="5">
                  <c:v>3581</c:v>
                </c:pt>
              </c:numCache>
            </c:numRef>
          </c:val>
        </c:ser>
        <c:dLbls>
          <c:showLegendKey val="0"/>
          <c:showVal val="0"/>
          <c:showCatName val="0"/>
          <c:showSerName val="0"/>
          <c:showPercent val="0"/>
          <c:showBubbleSize val="0"/>
        </c:dLbls>
        <c:gapWidth val="100"/>
        <c:overlap val="-25"/>
        <c:axId val="509818104"/>
        <c:axId val="510502064"/>
      </c:barChart>
      <c:catAx>
        <c:axId val="509818104"/>
        <c:scaling>
          <c:orientation val="maxMin"/>
        </c:scaling>
        <c:delete val="0"/>
        <c:axPos val="l"/>
        <c:numFmt formatCode="General" sourceLinked="0"/>
        <c:majorTickMark val="out"/>
        <c:minorTickMark val="none"/>
        <c:tickLblPos val="nextTo"/>
        <c:crossAx val="510502064"/>
        <c:crosses val="autoZero"/>
        <c:auto val="1"/>
        <c:lblAlgn val="ctr"/>
        <c:lblOffset val="100"/>
        <c:noMultiLvlLbl val="0"/>
      </c:catAx>
      <c:valAx>
        <c:axId val="510502064"/>
        <c:scaling>
          <c:orientation val="minMax"/>
        </c:scaling>
        <c:delete val="0"/>
        <c:axPos val="b"/>
        <c:numFmt formatCode="#,##0" sourceLinked="1"/>
        <c:majorTickMark val="out"/>
        <c:minorTickMark val="none"/>
        <c:tickLblPos val="nextTo"/>
        <c:crossAx val="509818104"/>
        <c:crosses val="max"/>
        <c:crossBetween val="between"/>
      </c:valAx>
    </c:plotArea>
    <c:legend>
      <c:legendPos val="b"/>
      <c:layout>
        <c:manualLayout>
          <c:xMode val="edge"/>
          <c:yMode val="edge"/>
          <c:x val="0.36321631671041099"/>
          <c:y val="0.916378772965879"/>
          <c:w val="0.27078947944006998"/>
          <c:h val="6.9732338145231804E-2"/>
        </c:manualLayout>
      </c:layout>
      <c:overlay val="0"/>
    </c:legend>
    <c:plotVisOnly val="1"/>
    <c:dispBlanksAs val="gap"/>
    <c:showDLblsOverMax val="0"/>
  </c:chart>
  <c:spPr>
    <a:ln>
      <a:noFill/>
    </a:ln>
  </c:spPr>
  <c:txPr>
    <a:bodyPr/>
    <a:lstStyle/>
    <a:p>
      <a:pPr>
        <a:defRPr sz="1000">
          <a:latin typeface="+mn-lt"/>
          <a:cs typeface="Verdana"/>
        </a:defRPr>
      </a:pPr>
      <a:endParaRPr lang="en-US"/>
    </a:p>
  </c:txPr>
  <c:printSettings>
    <c:headerFooter/>
    <c:pageMargins b="1" l="0.75" r="0.75"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manualLayout>
          <c:layoutTarget val="inner"/>
          <c:xMode val="edge"/>
          <c:yMode val="edge"/>
          <c:x val="0.26632789335960994"/>
          <c:y val="3.5837955038228897E-2"/>
          <c:w val="0.70059130085640497"/>
          <c:h val="0.81357469899345092"/>
        </c:manualLayout>
      </c:layout>
      <c:barChart>
        <c:barDir val="bar"/>
        <c:grouping val="clustered"/>
        <c:varyColors val="0"/>
        <c:ser>
          <c:idx val="2"/>
          <c:order val="0"/>
          <c:tx>
            <c:strRef>
              <c:f>'Performance Analysis'!$E$47</c:f>
              <c:strCache>
                <c:ptCount val="1"/>
                <c:pt idx="0">
                  <c:v>“Real World” Protocol Mix (Financial)</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'Performance Analysis'!$B$48:$B$53</c:f>
              <c:strCache>
                <c:ptCount val="6"/>
                <c:pt idx="0">
                  <c:v>Cisco FirePOWER 8350</c:v>
                </c:pt>
                <c:pt idx="1">
                  <c:v>Fortinet FortiGate-1500D</c:v>
                </c:pt>
                <c:pt idx="2">
                  <c:v>HP TippingPoint S7500NX</c:v>
                </c:pt>
                <c:pt idx="3">
                  <c:v>IBM Security Network Protection XGS 5100</c:v>
                </c:pt>
                <c:pt idx="4">
                  <c:v>IBM Security Network Protection XGS 7100</c:v>
                </c:pt>
                <c:pt idx="5">
                  <c:v>Palo Alto Networks PA-5020</c:v>
                </c:pt>
              </c:strCache>
            </c:strRef>
          </c:cat>
          <c:val>
            <c:numRef>
              <c:f>'Performance Analysis'!$E$48:$E$53</c:f>
              <c:numCache>
                <c:formatCode>#,##0</c:formatCode>
                <c:ptCount val="6"/>
                <c:pt idx="0">
                  <c:v>13029</c:v>
                </c:pt>
                <c:pt idx="1">
                  <c:v>4218</c:v>
                </c:pt>
                <c:pt idx="2">
                  <c:v>6456</c:v>
                </c:pt>
                <c:pt idx="3">
                  <c:v>4840</c:v>
                </c:pt>
                <c:pt idx="4">
                  <c:v>9300</c:v>
                </c:pt>
                <c:pt idx="5">
                  <c:v>704.7</c:v>
                </c:pt>
              </c:numCache>
            </c:numRef>
          </c:val>
        </c:ser>
        <c:dLbls>
          <c:showLegendKey val="0"/>
          <c:showVal val="0"/>
          <c:showCatName val="0"/>
          <c:showSerName val="0"/>
          <c:showPercent val="0"/>
          <c:showBubbleSize val="0"/>
        </c:dLbls>
        <c:gapWidth val="100"/>
        <c:overlap val="-25"/>
        <c:axId val="510501280"/>
        <c:axId val="510496968"/>
      </c:barChart>
      <c:catAx>
        <c:axId val="510501280"/>
        <c:scaling>
          <c:orientation val="maxMin"/>
        </c:scaling>
        <c:delete val="0"/>
        <c:axPos val="l"/>
        <c:numFmt formatCode="General" sourceLinked="0"/>
        <c:majorTickMark val="out"/>
        <c:minorTickMark val="none"/>
        <c:tickLblPos val="nextTo"/>
        <c:crossAx val="510496968"/>
        <c:crosses val="autoZero"/>
        <c:auto val="1"/>
        <c:lblAlgn val="ctr"/>
        <c:lblOffset val="100"/>
        <c:noMultiLvlLbl val="0"/>
      </c:catAx>
      <c:valAx>
        <c:axId val="510496968"/>
        <c:scaling>
          <c:orientation val="minMax"/>
        </c:scaling>
        <c:delete val="0"/>
        <c:axPos val="b"/>
        <c:numFmt formatCode="#,##0" sourceLinked="1"/>
        <c:majorTickMark val="out"/>
        <c:minorTickMark val="none"/>
        <c:tickLblPos val="nextTo"/>
        <c:crossAx val="510501280"/>
        <c:crosses val="max"/>
        <c:crossBetween val="between"/>
      </c:valAx>
    </c:plotArea>
    <c:legend>
      <c:legendPos val="b"/>
      <c:layout>
        <c:manualLayout>
          <c:xMode val="edge"/>
          <c:yMode val="edge"/>
          <c:x val="0.36067869641294797"/>
          <c:y val="0.92332321741032397"/>
          <c:w val="0.278642607174103"/>
          <c:h val="6.9732338145231804E-2"/>
        </c:manualLayout>
      </c:layout>
      <c:overlay val="0"/>
    </c:legend>
    <c:plotVisOnly val="1"/>
    <c:dispBlanksAs val="gap"/>
    <c:showDLblsOverMax val="0"/>
  </c:chart>
  <c:spPr>
    <a:ln>
      <a:noFill/>
    </a:ln>
  </c:spPr>
  <c:txPr>
    <a:bodyPr/>
    <a:lstStyle/>
    <a:p>
      <a:pPr>
        <a:defRPr sz="1000">
          <a:latin typeface="+mn-lt"/>
          <a:cs typeface="Verdana"/>
        </a:defRPr>
      </a:pPr>
      <a:endParaRPr lang="en-US"/>
    </a:p>
  </c:txPr>
  <c:printSettings>
    <c:headerFooter/>
    <c:pageMargins b="1" l="0.75" r="0.75"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manualLayout>
          <c:layoutTarget val="inner"/>
          <c:xMode val="edge"/>
          <c:yMode val="edge"/>
          <c:x val="0.27332599636205163"/>
          <c:y val="3.5837955038228897E-2"/>
          <c:w val="0.69359319785396334"/>
          <c:h val="0.80011776088223419"/>
        </c:manualLayout>
      </c:layout>
      <c:barChart>
        <c:barDir val="bar"/>
        <c:grouping val="clustered"/>
        <c:varyColors val="0"/>
        <c:ser>
          <c:idx val="3"/>
          <c:order val="0"/>
          <c:tx>
            <c:strRef>
              <c:f>'Performance Analysis'!$F$47</c:f>
              <c:strCache>
                <c:ptCount val="1"/>
                <c:pt idx="0">
                  <c:v>“Real World” Protocol Mix (Education)</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'Performance Analysis'!$B$48:$B$53</c:f>
              <c:strCache>
                <c:ptCount val="6"/>
                <c:pt idx="0">
                  <c:v>Cisco FirePOWER 8350</c:v>
                </c:pt>
                <c:pt idx="1">
                  <c:v>Fortinet FortiGate-1500D</c:v>
                </c:pt>
                <c:pt idx="2">
                  <c:v>HP TippingPoint S7500NX</c:v>
                </c:pt>
                <c:pt idx="3">
                  <c:v>IBM Security Network Protection XGS 5100</c:v>
                </c:pt>
                <c:pt idx="4">
                  <c:v>IBM Security Network Protection XGS 7100</c:v>
                </c:pt>
                <c:pt idx="5">
                  <c:v>Palo Alto Networks PA-5020</c:v>
                </c:pt>
              </c:strCache>
            </c:strRef>
          </c:cat>
          <c:val>
            <c:numRef>
              <c:f>'Performance Analysis'!$F$48:$F$53</c:f>
              <c:numCache>
                <c:formatCode>#,##0</c:formatCode>
                <c:ptCount val="6"/>
                <c:pt idx="0">
                  <c:v>19635</c:v>
                </c:pt>
                <c:pt idx="1">
                  <c:v>19458</c:v>
                </c:pt>
                <c:pt idx="2">
                  <c:v>20770</c:v>
                </c:pt>
                <c:pt idx="3">
                  <c:v>14673</c:v>
                </c:pt>
                <c:pt idx="4">
                  <c:v>32700</c:v>
                </c:pt>
                <c:pt idx="5">
                  <c:v>4864</c:v>
                </c:pt>
              </c:numCache>
            </c:numRef>
          </c:val>
        </c:ser>
        <c:dLbls>
          <c:showLegendKey val="0"/>
          <c:showVal val="0"/>
          <c:showCatName val="0"/>
          <c:showSerName val="0"/>
          <c:showPercent val="0"/>
          <c:showBubbleSize val="0"/>
        </c:dLbls>
        <c:gapWidth val="100"/>
        <c:overlap val="-25"/>
        <c:axId val="510502848"/>
        <c:axId val="510499712"/>
      </c:barChart>
      <c:catAx>
        <c:axId val="510502848"/>
        <c:scaling>
          <c:orientation val="maxMin"/>
        </c:scaling>
        <c:delete val="0"/>
        <c:axPos val="l"/>
        <c:numFmt formatCode="General" sourceLinked="0"/>
        <c:majorTickMark val="out"/>
        <c:minorTickMark val="none"/>
        <c:tickLblPos val="nextTo"/>
        <c:crossAx val="510499712"/>
        <c:crosses val="autoZero"/>
        <c:auto val="1"/>
        <c:lblAlgn val="ctr"/>
        <c:lblOffset val="100"/>
        <c:noMultiLvlLbl val="0"/>
      </c:catAx>
      <c:valAx>
        <c:axId val="510499712"/>
        <c:scaling>
          <c:orientation val="minMax"/>
        </c:scaling>
        <c:delete val="0"/>
        <c:axPos val="b"/>
        <c:numFmt formatCode="#,##0" sourceLinked="1"/>
        <c:majorTickMark val="out"/>
        <c:minorTickMark val="none"/>
        <c:tickLblPos val="nextTo"/>
        <c:crossAx val="510502848"/>
        <c:crosses val="max"/>
        <c:crossBetween val="between"/>
      </c:valAx>
    </c:plotArea>
    <c:legend>
      <c:legendPos val="b"/>
      <c:layout>
        <c:manualLayout>
          <c:xMode val="edge"/>
          <c:yMode val="edge"/>
          <c:x val="0.35664216972878399"/>
          <c:y val="0.916378772965879"/>
          <c:w val="0.28671555118110198"/>
          <c:h val="6.9732338145231804E-2"/>
        </c:manualLayout>
      </c:layout>
      <c:overlay val="0"/>
    </c:legend>
    <c:plotVisOnly val="1"/>
    <c:dispBlanksAs val="gap"/>
    <c:showDLblsOverMax val="0"/>
  </c:chart>
  <c:spPr>
    <a:ln>
      <a:noFill/>
    </a:ln>
  </c:spPr>
  <c:txPr>
    <a:bodyPr/>
    <a:lstStyle/>
    <a:p>
      <a:pPr>
        <a:defRPr sz="1000">
          <a:latin typeface="+mn-lt"/>
          <a:cs typeface="Verdana"/>
        </a:defRPr>
      </a:pPr>
      <a:endParaRPr lang="en-US"/>
    </a:p>
  </c:txPr>
  <c:printSettings>
    <c:headerFooter/>
    <c:pageMargins b="1" l="0.75" r="0.75"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manualLayout>
          <c:layoutTarget val="inner"/>
          <c:xMode val="edge"/>
          <c:yMode val="edge"/>
          <c:x val="9.9495050605166002E-2"/>
          <c:y val="1.6666666666666701E-2"/>
          <c:w val="0.77210660124843555"/>
          <c:h val="0.86649490016279596"/>
        </c:manualLayout>
      </c:layout>
      <c:lineChart>
        <c:grouping val="standard"/>
        <c:varyColors val="0"/>
        <c:ser>
          <c:idx val="0"/>
          <c:order val="0"/>
          <c:tx>
            <c:strRef>
              <c:f>'Performance Analysis'!$B$39</c:f>
              <c:strCache>
                <c:ptCount val="1"/>
                <c:pt idx="0">
                  <c:v>Cisco FirePOWER 8350</c:v>
                </c:pt>
              </c:strCache>
            </c:strRef>
          </c:tx>
          <c:spPr>
            <a:ln w="9525">
              <a:solidFill>
                <a:schemeClr val="accent1"/>
              </a:solidFill>
            </a:ln>
            <a:effectLst>
              <a:outerShdw blurRad="50800" dist="38100" dir="2700000" algn="tl" rotWithShape="0">
                <a:srgbClr val="000000">
                  <a:alpha val="43000"/>
                </a:srgbClr>
              </a:outerShdw>
            </a:effectLst>
          </c:spPr>
          <c:marker>
            <c:symbol val="circle"/>
            <c:size val="6"/>
            <c:spPr>
              <a:solidFill>
                <a:schemeClr val="accent1"/>
              </a:solidFill>
              <a:ln w="12700">
                <a:noFill/>
              </a:ln>
              <a:effectLst>
                <a:outerShdw blurRad="50800" dist="38100" dir="2700000" algn="tl" rotWithShape="0">
                  <a:srgbClr val="000000">
                    <a:alpha val="43000"/>
                  </a:srgbClr>
                </a:outerShdw>
              </a:effectLst>
            </c:spPr>
          </c:marker>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layout>
                <c:manualLayout>
                  <c:x val="4.9741818142346093E-2"/>
                  <c:y val="-1.1390653209261839E-2"/>
                </c:manualLayout>
              </c:layout>
              <c:showLegendKey val="0"/>
              <c:showVal val="0"/>
              <c:showCatName val="0"/>
              <c:showSerName val="1"/>
              <c:showPercent val="0"/>
              <c:showBubbleSize val="0"/>
              <c:extLst>
                <c:ext xmlns:c15="http://schemas.microsoft.com/office/drawing/2012/chart" uri="{CE6537A1-D6FC-4f65-9D91-7224C49458BB}">
                  <c15:layout/>
                </c:ext>
              </c:extLst>
            </c:dLbl>
            <c:spPr>
              <a:noFill/>
              <a:ln>
                <a:noFill/>
              </a:ln>
              <a:effectLst/>
            </c:spPr>
            <c:txPr>
              <a:bodyPr/>
              <a:lstStyle/>
              <a:p>
                <a:pPr>
                  <a:defRPr sz="800"/>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cat>
            <c:strRef>
              <c:f>'Performance Analysis'!$C$38:$H$38</c:f>
              <c:strCache>
                <c:ptCount val="6"/>
                <c:pt idx="0">
                  <c:v>64 Byte Packets</c:v>
                </c:pt>
                <c:pt idx="1">
                  <c:v>128 Byte Packets</c:v>
                </c:pt>
                <c:pt idx="2">
                  <c:v>256 Byte Packets</c:v>
                </c:pt>
                <c:pt idx="3">
                  <c:v>512 Byte Packets</c:v>
                </c:pt>
                <c:pt idx="4">
                  <c:v>1024 Byte Packets</c:v>
                </c:pt>
                <c:pt idx="5">
                  <c:v>1514 Byte Packets</c:v>
                </c:pt>
              </c:strCache>
            </c:strRef>
          </c:cat>
          <c:val>
            <c:numRef>
              <c:f>'Performance Analysis'!$C$39:$H$39</c:f>
              <c:numCache>
                <c:formatCode>#,##0</c:formatCode>
                <c:ptCount val="6"/>
                <c:pt idx="0">
                  <c:v>2964</c:v>
                </c:pt>
                <c:pt idx="1">
                  <c:v>4752</c:v>
                </c:pt>
                <c:pt idx="2">
                  <c:v>8109</c:v>
                </c:pt>
                <c:pt idx="3">
                  <c:v>13780</c:v>
                </c:pt>
                <c:pt idx="4">
                  <c:v>19610</c:v>
                </c:pt>
                <c:pt idx="5">
                  <c:v>19370</c:v>
                </c:pt>
              </c:numCache>
            </c:numRef>
          </c:val>
          <c:smooth val="0"/>
        </c:ser>
        <c:ser>
          <c:idx val="1"/>
          <c:order val="1"/>
          <c:tx>
            <c:strRef>
              <c:f>'Performance Analysis'!$B$40</c:f>
              <c:strCache>
                <c:ptCount val="1"/>
                <c:pt idx="0">
                  <c:v>Fortinet FortiGate-1500D</c:v>
                </c:pt>
              </c:strCache>
            </c:strRef>
          </c:tx>
          <c:spPr>
            <a:ln w="9525">
              <a:solidFill>
                <a:schemeClr val="accent1"/>
              </a:solidFill>
            </a:ln>
          </c:spPr>
          <c:marker>
            <c:symbol val="circle"/>
            <c:size val="6"/>
            <c:spPr>
              <a:solidFill>
                <a:schemeClr val="accent1"/>
              </a:solidFill>
              <a:ln>
                <a:noFill/>
              </a:ln>
            </c:spPr>
          </c:marker>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layout>
                <c:manualLayout>
                  <c:x val="6.2302909659554088E-3"/>
                  <c:y val="8.0459782251754638E-3"/>
                </c:manualLayout>
              </c:layout>
              <c:showLegendKey val="0"/>
              <c:showVal val="0"/>
              <c:showCatName val="0"/>
              <c:showSerName val="1"/>
              <c:showPercent val="0"/>
              <c:showBubbleSize val="0"/>
              <c:extLst>
                <c:ext xmlns:c15="http://schemas.microsoft.com/office/drawing/2012/chart" uri="{CE6537A1-D6FC-4f65-9D91-7224C49458BB}">
                  <c15:layout/>
                </c:ext>
              </c:extLst>
            </c:dLbl>
            <c:spPr>
              <a:noFill/>
              <a:ln>
                <a:noFill/>
              </a:ln>
              <a:effectLst/>
            </c:spPr>
            <c:txPr>
              <a:bodyPr/>
              <a:lstStyle/>
              <a:p>
                <a:pPr>
                  <a:defRPr sz="800"/>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cat>
            <c:strRef>
              <c:f>'Performance Analysis'!$C$38:$H$38</c:f>
              <c:strCache>
                <c:ptCount val="6"/>
                <c:pt idx="0">
                  <c:v>64 Byte Packets</c:v>
                </c:pt>
                <c:pt idx="1">
                  <c:v>128 Byte Packets</c:v>
                </c:pt>
                <c:pt idx="2">
                  <c:v>256 Byte Packets</c:v>
                </c:pt>
                <c:pt idx="3">
                  <c:v>512 Byte Packets</c:v>
                </c:pt>
                <c:pt idx="4">
                  <c:v>1024 Byte Packets</c:v>
                </c:pt>
                <c:pt idx="5">
                  <c:v>1514 Byte Packets</c:v>
                </c:pt>
              </c:strCache>
            </c:strRef>
          </c:cat>
          <c:val>
            <c:numRef>
              <c:f>'Performance Analysis'!$C$40:$H$40</c:f>
              <c:numCache>
                <c:formatCode>#,##0</c:formatCode>
                <c:ptCount val="6"/>
                <c:pt idx="0">
                  <c:v>38400</c:v>
                </c:pt>
                <c:pt idx="1">
                  <c:v>39200</c:v>
                </c:pt>
                <c:pt idx="2">
                  <c:v>39760</c:v>
                </c:pt>
                <c:pt idx="3">
                  <c:v>40000</c:v>
                </c:pt>
                <c:pt idx="4">
                  <c:v>40000</c:v>
                </c:pt>
                <c:pt idx="5">
                  <c:v>40000</c:v>
                </c:pt>
              </c:numCache>
            </c:numRef>
          </c:val>
          <c:smooth val="0"/>
        </c:ser>
        <c:ser>
          <c:idx val="2"/>
          <c:order val="2"/>
          <c:tx>
            <c:strRef>
              <c:f>'Performance Analysis'!$B$41</c:f>
              <c:strCache>
                <c:ptCount val="1"/>
                <c:pt idx="0">
                  <c:v>HP TippingPoint S7500NX</c:v>
                </c:pt>
              </c:strCache>
            </c:strRef>
          </c:tx>
          <c:spPr>
            <a:ln w="9525">
              <a:solidFill>
                <a:schemeClr val="accent1"/>
              </a:solidFill>
            </a:ln>
          </c:spPr>
          <c:marker>
            <c:symbol val="circle"/>
            <c:size val="6"/>
            <c:spPr>
              <a:solidFill>
                <a:schemeClr val="accent1"/>
              </a:solidFill>
              <a:ln>
                <a:solidFill>
                  <a:schemeClr val="accent1"/>
                </a:solidFill>
              </a:ln>
            </c:spPr>
          </c:marker>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layout>
                <c:manualLayout>
                  <c:x val="8.7227414330218068E-3"/>
                  <c:y val="5.2910052910052907E-3"/>
                </c:manualLayout>
              </c:layout>
              <c:showLegendKey val="0"/>
              <c:showVal val="0"/>
              <c:showCatName val="0"/>
              <c:showSerName val="1"/>
              <c:showPercent val="0"/>
              <c:showBubbleSize val="0"/>
              <c:extLst>
                <c:ext xmlns:c15="http://schemas.microsoft.com/office/drawing/2012/chart" uri="{CE6537A1-D6FC-4f65-9D91-7224C49458BB}">
                  <c15:layout/>
                </c:ext>
              </c:extLst>
            </c:dLbl>
            <c:spPr>
              <a:noFill/>
              <a:ln>
                <a:noFill/>
              </a:ln>
              <a:effectLst/>
            </c:spPr>
            <c:txPr>
              <a:bodyPr/>
              <a:lstStyle/>
              <a:p>
                <a:pPr>
                  <a:defRPr sz="800"/>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cat>
            <c:strRef>
              <c:f>'Performance Analysis'!$C$38:$H$38</c:f>
              <c:strCache>
                <c:ptCount val="6"/>
                <c:pt idx="0">
                  <c:v>64 Byte Packets</c:v>
                </c:pt>
                <c:pt idx="1">
                  <c:v>128 Byte Packets</c:v>
                </c:pt>
                <c:pt idx="2">
                  <c:v>256 Byte Packets</c:v>
                </c:pt>
                <c:pt idx="3">
                  <c:v>512 Byte Packets</c:v>
                </c:pt>
                <c:pt idx="4">
                  <c:v>1024 Byte Packets</c:v>
                </c:pt>
                <c:pt idx="5">
                  <c:v>1514 Byte Packets</c:v>
                </c:pt>
              </c:strCache>
            </c:strRef>
          </c:cat>
          <c:val>
            <c:numRef>
              <c:f>'Performance Analysis'!$C$41:$H$41</c:f>
              <c:numCache>
                <c:formatCode>#,##0</c:formatCode>
                <c:ptCount val="6"/>
                <c:pt idx="0">
                  <c:v>7737</c:v>
                </c:pt>
                <c:pt idx="1">
                  <c:v>10110</c:v>
                </c:pt>
                <c:pt idx="2">
                  <c:v>11875</c:v>
                </c:pt>
                <c:pt idx="3">
                  <c:v>13261</c:v>
                </c:pt>
                <c:pt idx="4">
                  <c:v>14139</c:v>
                </c:pt>
                <c:pt idx="5">
                  <c:v>14439</c:v>
                </c:pt>
              </c:numCache>
            </c:numRef>
          </c:val>
          <c:smooth val="0"/>
        </c:ser>
        <c:ser>
          <c:idx val="3"/>
          <c:order val="3"/>
          <c:tx>
            <c:strRef>
              <c:f>'Performance Analysis'!$B$42</c:f>
              <c:strCache>
                <c:ptCount val="1"/>
                <c:pt idx="0">
                  <c:v>IBM Security Network Protection XGS 5100</c:v>
                </c:pt>
              </c:strCache>
            </c:strRef>
          </c:tx>
          <c:spPr>
            <a:ln w="9525">
              <a:solidFill>
                <a:srgbClr val="1589CE"/>
              </a:solidFill>
            </a:ln>
          </c:spPr>
          <c:marker>
            <c:symbol val="circle"/>
            <c:size val="6"/>
            <c:spPr>
              <a:solidFill>
                <a:schemeClr val="accent1"/>
              </a:solidFill>
              <a:ln>
                <a:noFill/>
              </a:ln>
            </c:spPr>
          </c:marker>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layout>
                <c:manualLayout>
                  <c:x val="7.3034745962860118E-3"/>
                  <c:y val="-4.8706888814506515E-2"/>
                </c:manualLayout>
              </c:layout>
              <c:showLegendKey val="0"/>
              <c:showVal val="0"/>
              <c:showCatName val="0"/>
              <c:showSerName val="1"/>
              <c:showPercent val="0"/>
              <c:showBubbleSize val="0"/>
              <c:extLst>
                <c:ext xmlns:c15="http://schemas.microsoft.com/office/drawing/2012/chart" uri="{CE6537A1-D6FC-4f65-9D91-7224C49458BB}">
                  <c15:layout/>
                </c:ext>
              </c:extLst>
            </c:dLbl>
            <c:spPr>
              <a:noFill/>
              <a:ln>
                <a:noFill/>
              </a:ln>
              <a:effectLst/>
            </c:spPr>
            <c:txPr>
              <a:bodyPr/>
              <a:lstStyle/>
              <a:p>
                <a:pPr>
                  <a:defRPr sz="800"/>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cat>
            <c:strRef>
              <c:f>'Performance Analysis'!$C$38:$H$38</c:f>
              <c:strCache>
                <c:ptCount val="6"/>
                <c:pt idx="0">
                  <c:v>64 Byte Packets</c:v>
                </c:pt>
                <c:pt idx="1">
                  <c:v>128 Byte Packets</c:v>
                </c:pt>
                <c:pt idx="2">
                  <c:v>256 Byte Packets</c:v>
                </c:pt>
                <c:pt idx="3">
                  <c:v>512 Byte Packets</c:v>
                </c:pt>
                <c:pt idx="4">
                  <c:v>1024 Byte Packets</c:v>
                </c:pt>
                <c:pt idx="5">
                  <c:v>1514 Byte Packets</c:v>
                </c:pt>
              </c:strCache>
            </c:strRef>
          </c:cat>
          <c:val>
            <c:numRef>
              <c:f>'Performance Analysis'!$C$42:$H$42</c:f>
              <c:numCache>
                <c:formatCode>#,##0</c:formatCode>
                <c:ptCount val="6"/>
                <c:pt idx="0">
                  <c:v>1866.7</c:v>
                </c:pt>
                <c:pt idx="1">
                  <c:v>3247.7</c:v>
                </c:pt>
                <c:pt idx="2">
                  <c:v>6233</c:v>
                </c:pt>
                <c:pt idx="3">
                  <c:v>12169</c:v>
                </c:pt>
                <c:pt idx="4">
                  <c:v>21722</c:v>
                </c:pt>
                <c:pt idx="5">
                  <c:v>21698</c:v>
                </c:pt>
              </c:numCache>
            </c:numRef>
          </c:val>
          <c:smooth val="0"/>
        </c:ser>
        <c:ser>
          <c:idx val="4"/>
          <c:order val="4"/>
          <c:tx>
            <c:strRef>
              <c:f>'Performance Analysis'!$B$43</c:f>
              <c:strCache>
                <c:ptCount val="1"/>
                <c:pt idx="0">
                  <c:v>IBM Security Network Protection XGS 7100</c:v>
                </c:pt>
              </c:strCache>
            </c:strRef>
          </c:tx>
          <c:spPr>
            <a:ln w="9525">
              <a:solidFill>
                <a:schemeClr val="accent1"/>
              </a:solidFill>
            </a:ln>
          </c:spPr>
          <c:marker>
            <c:symbol val="circle"/>
            <c:size val="6"/>
            <c:spPr>
              <a:solidFill>
                <a:schemeClr val="accent1"/>
              </a:solidFill>
              <a:ln>
                <a:solidFill>
                  <a:schemeClr val="accent1"/>
                </a:solidFill>
              </a:ln>
            </c:spPr>
          </c:marker>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layout>
                <c:manualLayout>
                  <c:x val="9.9483636284692402E-3"/>
                  <c:y val="0"/>
                </c:manualLayout>
              </c:layout>
              <c:showLegendKey val="0"/>
              <c:showVal val="0"/>
              <c:showCatName val="0"/>
              <c:showSerName val="1"/>
              <c:showPercent val="0"/>
              <c:showBubbleSize val="0"/>
              <c:extLst>
                <c:ext xmlns:c15="http://schemas.microsoft.com/office/drawing/2012/chart" uri="{CE6537A1-D6FC-4f65-9D91-7224C49458BB}">
                  <c15:layout/>
                </c:ext>
              </c:extLst>
            </c:dLbl>
            <c:spPr>
              <a:noFill/>
              <a:ln>
                <a:noFill/>
              </a:ln>
              <a:effectLst/>
            </c:spPr>
            <c:txPr>
              <a:bodyPr/>
              <a:lstStyle/>
              <a:p>
                <a:pPr>
                  <a:defRPr sz="800"/>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cat>
            <c:strRef>
              <c:f>'Performance Analysis'!$C$38:$H$38</c:f>
              <c:strCache>
                <c:ptCount val="6"/>
                <c:pt idx="0">
                  <c:v>64 Byte Packets</c:v>
                </c:pt>
                <c:pt idx="1">
                  <c:v>128 Byte Packets</c:v>
                </c:pt>
                <c:pt idx="2">
                  <c:v>256 Byte Packets</c:v>
                </c:pt>
                <c:pt idx="3">
                  <c:v>512 Byte Packets</c:v>
                </c:pt>
                <c:pt idx="4">
                  <c:v>1024 Byte Packets</c:v>
                </c:pt>
                <c:pt idx="5">
                  <c:v>1514 Byte Packets</c:v>
                </c:pt>
              </c:strCache>
            </c:strRef>
          </c:cat>
          <c:val>
            <c:numRef>
              <c:f>'Performance Analysis'!$C$43:$H$43</c:f>
              <c:numCache>
                <c:formatCode>#,##0</c:formatCode>
                <c:ptCount val="6"/>
                <c:pt idx="0">
                  <c:v>1937.1</c:v>
                </c:pt>
                <c:pt idx="1">
                  <c:v>3512.1000000000004</c:v>
                </c:pt>
                <c:pt idx="2">
                  <c:v>6679.7000000000007</c:v>
                </c:pt>
                <c:pt idx="3">
                  <c:v>13053</c:v>
                </c:pt>
                <c:pt idx="4">
                  <c:v>25667</c:v>
                </c:pt>
                <c:pt idx="5">
                  <c:v>33152</c:v>
                </c:pt>
              </c:numCache>
            </c:numRef>
          </c:val>
          <c:smooth val="0"/>
        </c:ser>
        <c:ser>
          <c:idx val="5"/>
          <c:order val="5"/>
          <c:tx>
            <c:strRef>
              <c:f>'Performance Analysis'!$B$44</c:f>
              <c:strCache>
                <c:ptCount val="1"/>
                <c:pt idx="0">
                  <c:v>Palo Alto Networks PA-5020</c:v>
                </c:pt>
              </c:strCache>
            </c:strRef>
          </c:tx>
          <c:marker>
            <c:symbol val="circle"/>
            <c:size val="6"/>
            <c:spPr>
              <a:solidFill>
                <a:schemeClr val="accent1"/>
              </a:solidFill>
              <a:ln>
                <a:noFill/>
              </a:ln>
            </c:spPr>
          </c:marker>
          <c:dPt>
            <c:idx val="1"/>
            <c:bubble3D val="0"/>
            <c:spPr>
              <a:ln w="9525">
                <a:solidFill>
                  <a:schemeClr val="accent1"/>
                </a:solidFill>
              </a:ln>
            </c:spPr>
          </c:dPt>
          <c:dPt>
            <c:idx val="2"/>
            <c:bubble3D val="0"/>
            <c:spPr>
              <a:ln w="9525">
                <a:solidFill>
                  <a:schemeClr val="accent1"/>
                </a:solidFill>
              </a:ln>
            </c:spPr>
          </c:dPt>
          <c:dPt>
            <c:idx val="3"/>
            <c:bubble3D val="0"/>
            <c:spPr>
              <a:ln w="6350">
                <a:solidFill>
                  <a:schemeClr val="accent1"/>
                </a:solidFill>
              </a:ln>
            </c:spPr>
          </c:dPt>
          <c:dPt>
            <c:idx val="4"/>
            <c:bubble3D val="0"/>
            <c:spPr>
              <a:ln w="6350">
                <a:solidFill>
                  <a:schemeClr val="accent1"/>
                </a:solidFill>
              </a:ln>
            </c:spPr>
          </c:dPt>
          <c:dPt>
            <c:idx val="5"/>
            <c:bubble3D val="0"/>
            <c:spPr>
              <a:ln w="15875">
                <a:solidFill>
                  <a:schemeClr val="accent1"/>
                </a:solidFill>
              </a:ln>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layout>
                <c:manualLayout>
                  <c:x val="1.1202663234711672E-2"/>
                  <c:y val="-1.3014252792280883E-16"/>
                </c:manualLayout>
              </c:layout>
              <c:tx>
                <c:rich>
                  <a:bodyPr/>
                  <a:lstStyle/>
                  <a:p>
                    <a:fld id="{C3771D8F-6471-4CF5-80AB-473B0ABE8081}" type="SERIESNAME">
                      <a:rPr lang="en-US" sz="800"/>
                      <a:pPr/>
                      <a:t>[SERIES NAME]</a:t>
                    </a:fld>
                    <a:endParaRPr lang="en-US"/>
                  </a:p>
                </c:rich>
              </c:tx>
              <c:showLegendKey val="0"/>
              <c:showVal val="0"/>
              <c:showCatName val="0"/>
              <c:showSerName val="1"/>
              <c:showPercent val="0"/>
              <c:showBubbleSize val="0"/>
              <c:extLst>
                <c:ext xmlns:c15="http://schemas.microsoft.com/office/drawing/2012/chart" uri="{CE6537A1-D6FC-4f65-9D91-7224C49458BB}">
                  <c15:layout/>
                  <c15:dlblFieldTable/>
                  <c15:showDataLabelsRange val="0"/>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cat>
            <c:strRef>
              <c:f>'Performance Analysis'!$C$38:$H$38</c:f>
              <c:strCache>
                <c:ptCount val="6"/>
                <c:pt idx="0">
                  <c:v>64 Byte Packets</c:v>
                </c:pt>
                <c:pt idx="1">
                  <c:v>128 Byte Packets</c:v>
                </c:pt>
                <c:pt idx="2">
                  <c:v>256 Byte Packets</c:v>
                </c:pt>
                <c:pt idx="3">
                  <c:v>512 Byte Packets</c:v>
                </c:pt>
                <c:pt idx="4">
                  <c:v>1024 Byte Packets</c:v>
                </c:pt>
                <c:pt idx="5">
                  <c:v>1514 Byte Packets</c:v>
                </c:pt>
              </c:strCache>
            </c:strRef>
          </c:cat>
          <c:val>
            <c:numRef>
              <c:f>'Performance Analysis'!$C$44:$H$44</c:f>
              <c:numCache>
                <c:formatCode>#,##0</c:formatCode>
                <c:ptCount val="6"/>
                <c:pt idx="0">
                  <c:v>5040</c:v>
                </c:pt>
                <c:pt idx="1">
                  <c:v>9138</c:v>
                </c:pt>
                <c:pt idx="2">
                  <c:v>9601</c:v>
                </c:pt>
                <c:pt idx="3">
                  <c:v>9816</c:v>
                </c:pt>
                <c:pt idx="4">
                  <c:v>9844</c:v>
                </c:pt>
                <c:pt idx="5">
                  <c:v>9844</c:v>
                </c:pt>
              </c:numCache>
            </c:numRef>
          </c:val>
          <c:smooth val="0"/>
        </c:ser>
        <c:dLbls>
          <c:showLegendKey val="0"/>
          <c:showVal val="1"/>
          <c:showCatName val="0"/>
          <c:showSerName val="0"/>
          <c:showPercent val="0"/>
          <c:showBubbleSize val="0"/>
        </c:dLbls>
        <c:marker val="1"/>
        <c:smooth val="0"/>
        <c:axId val="510500104"/>
        <c:axId val="510498536"/>
      </c:lineChart>
      <c:catAx>
        <c:axId val="510500104"/>
        <c:scaling>
          <c:orientation val="minMax"/>
        </c:scaling>
        <c:delete val="0"/>
        <c:axPos val="b"/>
        <c:majorGridlines>
          <c:spPr>
            <a:ln>
              <a:noFill/>
            </a:ln>
          </c:spPr>
        </c:majorGridlines>
        <c:title>
          <c:tx>
            <c:rich>
              <a:bodyPr/>
              <a:lstStyle/>
              <a:p>
                <a:pPr>
                  <a:defRPr/>
                </a:pPr>
                <a:r>
                  <a:rPr lang="en-US"/>
                  <a:t>UDP Packet Size</a:t>
                </a:r>
              </a:p>
            </c:rich>
          </c:tx>
          <c:layout/>
          <c:overlay val="0"/>
        </c:title>
        <c:numFmt formatCode="General" sourceLinked="1"/>
        <c:majorTickMark val="out"/>
        <c:minorTickMark val="none"/>
        <c:tickLblPos val="nextTo"/>
        <c:crossAx val="510498536"/>
        <c:crosses val="autoZero"/>
        <c:auto val="1"/>
        <c:lblAlgn val="ctr"/>
        <c:lblOffset val="100"/>
        <c:noMultiLvlLbl val="0"/>
      </c:catAx>
      <c:valAx>
        <c:axId val="510498536"/>
        <c:scaling>
          <c:orientation val="minMax"/>
        </c:scaling>
        <c:delete val="0"/>
        <c:axPos val="l"/>
        <c:majorGridlines>
          <c:spPr>
            <a:ln>
              <a:noFill/>
            </a:ln>
          </c:spPr>
        </c:majorGridlines>
        <c:title>
          <c:tx>
            <c:rich>
              <a:bodyPr rot="-5400000" vert="horz"/>
              <a:lstStyle/>
              <a:p>
                <a:pPr>
                  <a:defRPr/>
                </a:pPr>
                <a:r>
                  <a:rPr lang="en-US"/>
                  <a:t>Megabits per Second</a:t>
                </a:r>
              </a:p>
            </c:rich>
          </c:tx>
          <c:layout/>
          <c:overlay val="0"/>
        </c:title>
        <c:numFmt formatCode="#,##0" sourceLinked="1"/>
        <c:majorTickMark val="out"/>
        <c:minorTickMark val="none"/>
        <c:tickLblPos val="nextTo"/>
        <c:crossAx val="510500104"/>
        <c:crosses val="autoZero"/>
        <c:crossBetween val="between"/>
      </c:valAx>
    </c:plotArea>
    <c:plotVisOnly val="1"/>
    <c:dispBlanksAs val="gap"/>
    <c:showDLblsOverMax val="0"/>
  </c:chart>
  <c:spPr>
    <a:ln>
      <a:noFill/>
    </a:ln>
  </c:spPr>
  <c:txPr>
    <a:bodyPr/>
    <a:lstStyle/>
    <a:p>
      <a:pPr>
        <a:defRPr sz="1000">
          <a:latin typeface="+mn-lt"/>
          <a:cs typeface="Verdana"/>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manualLayout>
          <c:layoutTarget val="inner"/>
          <c:xMode val="edge"/>
          <c:yMode val="edge"/>
          <c:x val="0.25473630665360636"/>
          <c:y val="6.3924402445803205E-2"/>
          <c:w val="0.70158522896864262"/>
          <c:h val="0.88780826519655187"/>
        </c:manualLayout>
      </c:layout>
      <c:barChart>
        <c:barDir val="bar"/>
        <c:grouping val="clustered"/>
        <c:varyColors val="0"/>
        <c:ser>
          <c:idx val="0"/>
          <c:order val="0"/>
          <c:tx>
            <c:strRef>
              <c:f>'Security Analysis'!$C$12</c:f>
              <c:strCache>
                <c:ptCount val="1"/>
                <c:pt idx="0">
                  <c:v>Attacker Initiated</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'Security Analysis'!$B$13:$B$18</c:f>
              <c:strCache>
                <c:ptCount val="6"/>
                <c:pt idx="0">
                  <c:v>Cisco FirePOWER 8350</c:v>
                </c:pt>
                <c:pt idx="1">
                  <c:v>Fortinet FortiGate-1500D</c:v>
                </c:pt>
                <c:pt idx="2">
                  <c:v>HP TippingPoint S7500NX</c:v>
                </c:pt>
                <c:pt idx="3">
                  <c:v>IBM Security Network Protection XGS 5100</c:v>
                </c:pt>
                <c:pt idx="4">
                  <c:v>IBM Security Network Protection XGS 7100</c:v>
                </c:pt>
                <c:pt idx="5">
                  <c:v>Palo Alto Networks PA-5020</c:v>
                </c:pt>
              </c:strCache>
            </c:strRef>
          </c:cat>
          <c:val>
            <c:numRef>
              <c:f>'Security Analysis'!$C$13:$C$18</c:f>
              <c:numCache>
                <c:formatCode>0.0%</c:formatCode>
                <c:ptCount val="6"/>
                <c:pt idx="0">
                  <c:v>0.99546998867497172</c:v>
                </c:pt>
                <c:pt idx="1">
                  <c:v>0.9977349943374858</c:v>
                </c:pt>
                <c:pt idx="2">
                  <c:v>0.97961494903737256</c:v>
                </c:pt>
                <c:pt idx="3">
                  <c:v>0.99320498301245752</c:v>
                </c:pt>
                <c:pt idx="4">
                  <c:v>0.99320498301245752</c:v>
                </c:pt>
                <c:pt idx="5">
                  <c:v>0.96375990939977352</c:v>
                </c:pt>
              </c:numCache>
            </c:numRef>
          </c:val>
        </c:ser>
        <c:dLbls>
          <c:showLegendKey val="0"/>
          <c:showVal val="0"/>
          <c:showCatName val="0"/>
          <c:showSerName val="0"/>
          <c:showPercent val="0"/>
          <c:showBubbleSize val="0"/>
        </c:dLbls>
        <c:gapWidth val="150"/>
        <c:axId val="498221432"/>
        <c:axId val="286114088"/>
      </c:barChart>
      <c:catAx>
        <c:axId val="498221432"/>
        <c:scaling>
          <c:orientation val="maxMin"/>
        </c:scaling>
        <c:delete val="0"/>
        <c:axPos val="l"/>
        <c:numFmt formatCode="General" sourceLinked="0"/>
        <c:majorTickMark val="out"/>
        <c:minorTickMark val="none"/>
        <c:tickLblPos val="nextTo"/>
        <c:txPr>
          <a:bodyPr rot="0" vert="horz"/>
          <a:lstStyle/>
          <a:p>
            <a:pPr>
              <a:defRPr/>
            </a:pPr>
            <a:endParaRPr lang="en-US"/>
          </a:p>
        </c:txPr>
        <c:crossAx val="286114088"/>
        <c:crosses val="autoZero"/>
        <c:auto val="1"/>
        <c:lblAlgn val="ctr"/>
        <c:lblOffset val="100"/>
        <c:noMultiLvlLbl val="0"/>
      </c:catAx>
      <c:valAx>
        <c:axId val="286114088"/>
        <c:scaling>
          <c:orientation val="minMax"/>
          <c:max val="1"/>
          <c:min val="0"/>
        </c:scaling>
        <c:delete val="0"/>
        <c:axPos val="t"/>
        <c:majorGridlines>
          <c:spPr>
            <a:ln>
              <a:noFill/>
            </a:ln>
          </c:spPr>
        </c:majorGridlines>
        <c:numFmt formatCode="0%" sourceLinked="0"/>
        <c:majorTickMark val="out"/>
        <c:minorTickMark val="none"/>
        <c:tickLblPos val="nextTo"/>
        <c:crossAx val="498221432"/>
        <c:crosses val="autoZero"/>
        <c:crossBetween val="between"/>
      </c:valAx>
    </c:plotArea>
    <c:plotVisOnly val="1"/>
    <c:dispBlanksAs val="gap"/>
    <c:showDLblsOverMax val="0"/>
  </c:chart>
  <c:spPr>
    <a:ln>
      <a:noFill/>
    </a:ln>
  </c:spPr>
  <c:txPr>
    <a:bodyPr/>
    <a:lstStyle/>
    <a:p>
      <a:pPr>
        <a:defRPr sz="1200">
          <a:latin typeface="+mn-lt"/>
          <a:cs typeface="Verdana"/>
        </a:defRPr>
      </a:pPr>
      <a:endParaRPr lang="en-US"/>
    </a:p>
  </c:tx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manualLayout>
          <c:layoutTarget val="inner"/>
          <c:xMode val="edge"/>
          <c:yMode val="edge"/>
          <c:x val="0.25404090095332948"/>
          <c:y val="7.3056677453119279E-2"/>
          <c:w val="0.70993897681229656"/>
          <c:h val="0.89024266230834881"/>
        </c:manualLayout>
      </c:layout>
      <c:barChart>
        <c:barDir val="bar"/>
        <c:grouping val="clustered"/>
        <c:varyColors val="0"/>
        <c:ser>
          <c:idx val="0"/>
          <c:order val="0"/>
          <c:tx>
            <c:strRef>
              <c:f>'Security Analysis'!$E$12</c:f>
              <c:strCache>
                <c:ptCount val="1"/>
                <c:pt idx="0">
                  <c:v>Overall Block Rate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'Security Analysis'!$B$13:$B$18</c:f>
              <c:strCache>
                <c:ptCount val="6"/>
                <c:pt idx="0">
                  <c:v>Cisco FirePOWER 8350</c:v>
                </c:pt>
                <c:pt idx="1">
                  <c:v>Fortinet FortiGate-1500D</c:v>
                </c:pt>
                <c:pt idx="2">
                  <c:v>HP TippingPoint S7500NX</c:v>
                </c:pt>
                <c:pt idx="3">
                  <c:v>IBM Security Network Protection XGS 5100</c:v>
                </c:pt>
                <c:pt idx="4">
                  <c:v>IBM Security Network Protection XGS 7100</c:v>
                </c:pt>
                <c:pt idx="5">
                  <c:v>Palo Alto Networks PA-5020</c:v>
                </c:pt>
              </c:strCache>
            </c:strRef>
          </c:cat>
          <c:val>
            <c:numRef>
              <c:f>'Security Analysis'!$E$13:$E$18</c:f>
              <c:numCache>
                <c:formatCode>0.0%</c:formatCode>
                <c:ptCount val="6"/>
                <c:pt idx="0">
                  <c:v>0.99525816649104315</c:v>
                </c:pt>
                <c:pt idx="1">
                  <c:v>0.99789251844046367</c:v>
                </c:pt>
                <c:pt idx="2">
                  <c:v>0.98524762908324548</c:v>
                </c:pt>
                <c:pt idx="3">
                  <c:v>0.98893572181243417</c:v>
                </c:pt>
                <c:pt idx="4">
                  <c:v>0.98893572181243417</c:v>
                </c:pt>
                <c:pt idx="5">
                  <c:v>0.97576396206533189</c:v>
                </c:pt>
              </c:numCache>
            </c:numRef>
          </c:val>
        </c:ser>
        <c:dLbls>
          <c:showLegendKey val="0"/>
          <c:showVal val="0"/>
          <c:showCatName val="0"/>
          <c:showSerName val="0"/>
          <c:showPercent val="0"/>
          <c:showBubbleSize val="0"/>
        </c:dLbls>
        <c:gapWidth val="150"/>
        <c:axId val="507198216"/>
        <c:axId val="507194296"/>
      </c:barChart>
      <c:catAx>
        <c:axId val="507198216"/>
        <c:scaling>
          <c:orientation val="maxMin"/>
        </c:scaling>
        <c:delete val="0"/>
        <c:axPos val="l"/>
        <c:numFmt formatCode="General" sourceLinked="0"/>
        <c:majorTickMark val="out"/>
        <c:minorTickMark val="none"/>
        <c:tickLblPos val="nextTo"/>
        <c:crossAx val="507194296"/>
        <c:crosses val="autoZero"/>
        <c:auto val="1"/>
        <c:lblAlgn val="ctr"/>
        <c:lblOffset val="100"/>
        <c:noMultiLvlLbl val="0"/>
      </c:catAx>
      <c:valAx>
        <c:axId val="507194296"/>
        <c:scaling>
          <c:orientation val="minMax"/>
          <c:max val="1"/>
          <c:min val="0"/>
        </c:scaling>
        <c:delete val="0"/>
        <c:axPos val="t"/>
        <c:majorGridlines>
          <c:spPr>
            <a:ln>
              <a:noFill/>
            </a:ln>
          </c:spPr>
        </c:majorGridlines>
        <c:numFmt formatCode="0%" sourceLinked="0"/>
        <c:majorTickMark val="out"/>
        <c:minorTickMark val="none"/>
        <c:tickLblPos val="nextTo"/>
        <c:crossAx val="507198216"/>
        <c:crosses val="autoZero"/>
        <c:crossBetween val="between"/>
        <c:majorUnit val="0.1"/>
      </c:valAx>
    </c:plotArea>
    <c:plotVisOnly val="1"/>
    <c:dispBlanksAs val="gap"/>
    <c:showDLblsOverMax val="0"/>
  </c:chart>
  <c:spPr>
    <a:ln>
      <a:noFill/>
    </a:ln>
  </c:spPr>
  <c:txPr>
    <a:bodyPr/>
    <a:lstStyle/>
    <a:p>
      <a:pPr>
        <a:defRPr sz="1200">
          <a:latin typeface="+mn-lt"/>
          <a:cs typeface="Verdana"/>
        </a:defRPr>
      </a:pPr>
      <a:endParaRPr lang="en-US"/>
    </a:p>
  </c:txPr>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148253464972908"/>
          <c:y val="6.3924402445803205E-2"/>
          <c:w val="0.71338389794241386"/>
          <c:h val="0.89157694596934844"/>
        </c:manualLayout>
      </c:layout>
      <c:barChart>
        <c:barDir val="bar"/>
        <c:grouping val="clustered"/>
        <c:varyColors val="0"/>
        <c:ser>
          <c:idx val="0"/>
          <c:order val="0"/>
          <c:tx>
            <c:strRef>
              <c:f>'Security Analysis'!$D$22</c:f>
              <c:strCache>
                <c:ptCount val="1"/>
                <c:pt idx="0">
                  <c:v>Exploits &amp; Evasions (Client-Side)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'Security Analysis'!$B$23:$B$28</c:f>
              <c:strCache>
                <c:ptCount val="6"/>
                <c:pt idx="0">
                  <c:v>Cisco FirePOWER 8350</c:v>
                </c:pt>
                <c:pt idx="1">
                  <c:v>Fortinet FortiGate-1500D</c:v>
                </c:pt>
                <c:pt idx="2">
                  <c:v>HP TippingPoint S7500NX</c:v>
                </c:pt>
                <c:pt idx="3">
                  <c:v>IBM Security Network Protection XGS 5100</c:v>
                </c:pt>
                <c:pt idx="4">
                  <c:v>IBM Security Network Protection XGS 7100</c:v>
                </c:pt>
                <c:pt idx="5">
                  <c:v>Palo Alto Networks PA-5020</c:v>
                </c:pt>
              </c:strCache>
            </c:strRef>
          </c:cat>
          <c:val>
            <c:numRef>
              <c:f>'Security Analysis'!$D$23:$D$28</c:f>
              <c:numCache>
                <c:formatCode>0.0%</c:formatCode>
                <c:ptCount val="6"/>
                <c:pt idx="0">
                  <c:v>0.99507389162561577</c:v>
                </c:pt>
                <c:pt idx="1">
                  <c:v>0.99802955665024629</c:v>
                </c:pt>
                <c:pt idx="2">
                  <c:v>0.99014778325123154</c:v>
                </c:pt>
                <c:pt idx="3">
                  <c:v>0.98522167487684731</c:v>
                </c:pt>
                <c:pt idx="4">
                  <c:v>0.98522167487684731</c:v>
                </c:pt>
                <c:pt idx="5">
                  <c:v>0.98620689655172411</c:v>
                </c:pt>
              </c:numCache>
            </c:numRef>
          </c:val>
        </c:ser>
        <c:dLbls>
          <c:showLegendKey val="0"/>
          <c:showVal val="0"/>
          <c:showCatName val="0"/>
          <c:showSerName val="0"/>
          <c:showPercent val="0"/>
          <c:showBubbleSize val="0"/>
        </c:dLbls>
        <c:gapWidth val="150"/>
        <c:axId val="507198608"/>
        <c:axId val="507195472"/>
      </c:barChart>
      <c:catAx>
        <c:axId val="507198608"/>
        <c:scaling>
          <c:orientation val="maxMin"/>
        </c:scaling>
        <c:delete val="0"/>
        <c:axPos val="l"/>
        <c:numFmt formatCode="General" sourceLinked="0"/>
        <c:majorTickMark val="out"/>
        <c:minorTickMark val="none"/>
        <c:tickLblPos val="nextTo"/>
        <c:txPr>
          <a:bodyPr rot="0" vert="horz"/>
          <a:lstStyle/>
          <a:p>
            <a:pPr>
              <a:defRPr/>
            </a:pPr>
            <a:endParaRPr lang="en-US"/>
          </a:p>
        </c:txPr>
        <c:crossAx val="507195472"/>
        <c:crosses val="autoZero"/>
        <c:auto val="1"/>
        <c:lblAlgn val="ctr"/>
        <c:lblOffset val="100"/>
        <c:noMultiLvlLbl val="0"/>
      </c:catAx>
      <c:valAx>
        <c:axId val="507195472"/>
        <c:scaling>
          <c:orientation val="minMax"/>
          <c:max val="1"/>
          <c:min val="0"/>
        </c:scaling>
        <c:delete val="0"/>
        <c:axPos val="t"/>
        <c:majorGridlines>
          <c:spPr>
            <a:ln>
              <a:noFill/>
            </a:ln>
          </c:spPr>
        </c:majorGridlines>
        <c:numFmt formatCode="0%" sourceLinked="0"/>
        <c:majorTickMark val="out"/>
        <c:minorTickMark val="none"/>
        <c:tickLblPos val="nextTo"/>
        <c:crossAx val="507198608"/>
        <c:crosses val="autoZero"/>
        <c:crossBetween val="between"/>
      </c:valAx>
    </c:plotArea>
    <c:plotVisOnly val="1"/>
    <c:dispBlanksAs val="gap"/>
    <c:showDLblsOverMax val="0"/>
  </c:chart>
  <c:spPr>
    <a:ln>
      <a:noFill/>
    </a:ln>
  </c:spPr>
  <c:txPr>
    <a:bodyPr/>
    <a:lstStyle/>
    <a:p>
      <a:pPr>
        <a:defRPr sz="1200">
          <a:latin typeface="+mn-lt"/>
          <a:cs typeface="Verdana"/>
        </a:defRPr>
      </a:pPr>
      <a:endParaRPr lang="en-US"/>
    </a:p>
  </c:txPr>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835893531369691"/>
          <c:y val="6.3924402445803205E-2"/>
          <c:w val="0.70202768382675718"/>
          <c:h val="0.89172644894168307"/>
        </c:manualLayout>
      </c:layout>
      <c:barChart>
        <c:barDir val="bar"/>
        <c:grouping val="clustered"/>
        <c:varyColors val="0"/>
        <c:ser>
          <c:idx val="0"/>
          <c:order val="0"/>
          <c:tx>
            <c:strRef>
              <c:f>'Security Analysis'!$E$22</c:f>
              <c:strCache>
                <c:ptCount val="1"/>
                <c:pt idx="0">
                  <c:v>Exploits &amp; Evasions (Combined)</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'Security Analysis'!$B$23:$B$28</c:f>
              <c:strCache>
                <c:ptCount val="6"/>
                <c:pt idx="0">
                  <c:v>Cisco FirePOWER 8350</c:v>
                </c:pt>
                <c:pt idx="1">
                  <c:v>Fortinet FortiGate-1500D</c:v>
                </c:pt>
                <c:pt idx="2">
                  <c:v>HP TippingPoint S7500NX</c:v>
                </c:pt>
                <c:pt idx="3">
                  <c:v>IBM Security Network Protection XGS 5100</c:v>
                </c:pt>
                <c:pt idx="4">
                  <c:v>IBM Security Network Protection XGS 7100</c:v>
                </c:pt>
                <c:pt idx="5">
                  <c:v>Palo Alto Networks PA-5020</c:v>
                </c:pt>
              </c:strCache>
            </c:strRef>
          </c:cat>
          <c:val>
            <c:numRef>
              <c:f>'Security Analysis'!$E$23:$E$28</c:f>
              <c:numCache>
                <c:formatCode>0.0%</c:formatCode>
                <c:ptCount val="6"/>
                <c:pt idx="0">
                  <c:v>0.99525816649104315</c:v>
                </c:pt>
                <c:pt idx="1">
                  <c:v>0.99789251844046367</c:v>
                </c:pt>
                <c:pt idx="2">
                  <c:v>0.98524762908324548</c:v>
                </c:pt>
                <c:pt idx="3">
                  <c:v>0.98893572181243417</c:v>
                </c:pt>
                <c:pt idx="4">
                  <c:v>0.98893572181243417</c:v>
                </c:pt>
                <c:pt idx="5">
                  <c:v>0.97576396206533189</c:v>
                </c:pt>
              </c:numCache>
            </c:numRef>
          </c:val>
        </c:ser>
        <c:dLbls>
          <c:showLegendKey val="0"/>
          <c:showVal val="0"/>
          <c:showCatName val="0"/>
          <c:showSerName val="0"/>
          <c:showPercent val="0"/>
          <c:showBubbleSize val="0"/>
        </c:dLbls>
        <c:gapWidth val="150"/>
        <c:axId val="507197824"/>
        <c:axId val="507199784"/>
      </c:barChart>
      <c:catAx>
        <c:axId val="507197824"/>
        <c:scaling>
          <c:orientation val="maxMin"/>
        </c:scaling>
        <c:delete val="0"/>
        <c:axPos val="l"/>
        <c:numFmt formatCode="General" sourceLinked="0"/>
        <c:majorTickMark val="out"/>
        <c:minorTickMark val="none"/>
        <c:tickLblPos val="nextTo"/>
        <c:txPr>
          <a:bodyPr rot="0" vert="horz"/>
          <a:lstStyle/>
          <a:p>
            <a:pPr>
              <a:defRPr/>
            </a:pPr>
            <a:endParaRPr lang="en-US"/>
          </a:p>
        </c:txPr>
        <c:crossAx val="507199784"/>
        <c:crosses val="autoZero"/>
        <c:auto val="1"/>
        <c:lblAlgn val="ctr"/>
        <c:lblOffset val="100"/>
        <c:noMultiLvlLbl val="0"/>
      </c:catAx>
      <c:valAx>
        <c:axId val="507199784"/>
        <c:scaling>
          <c:orientation val="minMax"/>
          <c:max val="1"/>
          <c:min val="0"/>
        </c:scaling>
        <c:delete val="0"/>
        <c:axPos val="t"/>
        <c:majorGridlines>
          <c:spPr>
            <a:ln>
              <a:noFill/>
            </a:ln>
          </c:spPr>
        </c:majorGridlines>
        <c:numFmt formatCode="0%" sourceLinked="0"/>
        <c:majorTickMark val="out"/>
        <c:minorTickMark val="none"/>
        <c:tickLblPos val="nextTo"/>
        <c:crossAx val="507197824"/>
        <c:crosses val="autoZero"/>
        <c:crossBetween val="between"/>
      </c:valAx>
    </c:plotArea>
    <c:plotVisOnly val="1"/>
    <c:dispBlanksAs val="gap"/>
    <c:showDLblsOverMax val="0"/>
  </c:chart>
  <c:spPr>
    <a:ln>
      <a:noFill/>
    </a:ln>
  </c:spPr>
  <c:txPr>
    <a:bodyPr/>
    <a:lstStyle/>
    <a:p>
      <a:pPr>
        <a:defRPr sz="1200">
          <a:latin typeface="+mn-lt"/>
          <a:cs typeface="Verdana"/>
        </a:defRPr>
      </a:pPr>
      <a:endParaRPr lang="en-US"/>
    </a:p>
  </c:txPr>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4683298257080119"/>
          <c:y val="6.3924402445803205E-2"/>
          <c:w val="0.71801661657739346"/>
          <c:h val="0.89535459364842984"/>
        </c:manualLayout>
      </c:layout>
      <c:barChart>
        <c:barDir val="bar"/>
        <c:grouping val="clustered"/>
        <c:varyColors val="0"/>
        <c:ser>
          <c:idx val="0"/>
          <c:order val="0"/>
          <c:tx>
            <c:strRef>
              <c:f>'Security Analysis'!$D$12</c:f>
              <c:strCache>
                <c:ptCount val="1"/>
                <c:pt idx="0">
                  <c:v>Target Initiated</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'Security Analysis'!$B$13:$B$18</c:f>
              <c:strCache>
                <c:ptCount val="6"/>
                <c:pt idx="0">
                  <c:v>Cisco FirePOWER 8350</c:v>
                </c:pt>
                <c:pt idx="1">
                  <c:v>Fortinet FortiGate-1500D</c:v>
                </c:pt>
                <c:pt idx="2">
                  <c:v>HP TippingPoint S7500NX</c:v>
                </c:pt>
                <c:pt idx="3">
                  <c:v>IBM Security Network Protection XGS 5100</c:v>
                </c:pt>
                <c:pt idx="4">
                  <c:v>IBM Security Network Protection XGS 7100</c:v>
                </c:pt>
                <c:pt idx="5">
                  <c:v>Palo Alto Networks PA-5020</c:v>
                </c:pt>
              </c:strCache>
            </c:strRef>
          </c:cat>
          <c:val>
            <c:numRef>
              <c:f>'Security Analysis'!$D$13:$D$18</c:f>
              <c:numCache>
                <c:formatCode>0.0%</c:formatCode>
                <c:ptCount val="6"/>
                <c:pt idx="0">
                  <c:v>0.99507389162561577</c:v>
                </c:pt>
                <c:pt idx="1">
                  <c:v>0.99802955665024629</c:v>
                </c:pt>
                <c:pt idx="2">
                  <c:v>0.99014778325123154</c:v>
                </c:pt>
                <c:pt idx="3">
                  <c:v>0.98522167487684731</c:v>
                </c:pt>
                <c:pt idx="4">
                  <c:v>0.98522167487684731</c:v>
                </c:pt>
                <c:pt idx="5">
                  <c:v>0.98620689655172411</c:v>
                </c:pt>
              </c:numCache>
            </c:numRef>
          </c:val>
        </c:ser>
        <c:dLbls>
          <c:showLegendKey val="0"/>
          <c:showVal val="0"/>
          <c:showCatName val="0"/>
          <c:showSerName val="0"/>
          <c:showPercent val="0"/>
          <c:showBubbleSize val="0"/>
        </c:dLbls>
        <c:gapWidth val="150"/>
        <c:axId val="507199000"/>
        <c:axId val="507200176"/>
      </c:barChart>
      <c:catAx>
        <c:axId val="507199000"/>
        <c:scaling>
          <c:orientation val="maxMin"/>
        </c:scaling>
        <c:delete val="0"/>
        <c:axPos val="l"/>
        <c:numFmt formatCode="General" sourceLinked="0"/>
        <c:majorTickMark val="out"/>
        <c:minorTickMark val="none"/>
        <c:tickLblPos val="nextTo"/>
        <c:txPr>
          <a:bodyPr rot="0" vert="horz"/>
          <a:lstStyle/>
          <a:p>
            <a:pPr>
              <a:defRPr/>
            </a:pPr>
            <a:endParaRPr lang="en-US"/>
          </a:p>
        </c:txPr>
        <c:crossAx val="507200176"/>
        <c:crosses val="autoZero"/>
        <c:auto val="1"/>
        <c:lblAlgn val="ctr"/>
        <c:lblOffset val="100"/>
        <c:noMultiLvlLbl val="0"/>
      </c:catAx>
      <c:valAx>
        <c:axId val="507200176"/>
        <c:scaling>
          <c:orientation val="minMax"/>
          <c:max val="1"/>
          <c:min val="0"/>
        </c:scaling>
        <c:delete val="0"/>
        <c:axPos val="t"/>
        <c:majorGridlines>
          <c:spPr>
            <a:ln>
              <a:noFill/>
            </a:ln>
          </c:spPr>
        </c:majorGridlines>
        <c:numFmt formatCode="0%" sourceLinked="0"/>
        <c:majorTickMark val="out"/>
        <c:minorTickMark val="none"/>
        <c:tickLblPos val="nextTo"/>
        <c:crossAx val="507199000"/>
        <c:crosses val="autoZero"/>
        <c:crossBetween val="between"/>
      </c:valAx>
    </c:plotArea>
    <c:plotVisOnly val="1"/>
    <c:dispBlanksAs val="gap"/>
    <c:showDLblsOverMax val="0"/>
  </c:chart>
  <c:spPr>
    <a:ln>
      <a:noFill/>
    </a:ln>
  </c:spPr>
  <c:txPr>
    <a:bodyPr/>
    <a:lstStyle/>
    <a:p>
      <a:pPr>
        <a:defRPr sz="1200">
          <a:latin typeface="+mn-lt"/>
          <a:cs typeface="Verdana"/>
        </a:defRPr>
      </a:pPr>
      <a:endParaRPr lang="en-US"/>
    </a:p>
  </c:txPr>
  <c:printSettings>
    <c:headerFooter/>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167342846189167"/>
          <c:y val="6.3924402445803205E-2"/>
          <c:w val="0.71108319325252878"/>
          <c:h val="0.88981112091701475"/>
        </c:manualLayout>
      </c:layout>
      <c:barChart>
        <c:barDir val="bar"/>
        <c:grouping val="clustered"/>
        <c:varyColors val="0"/>
        <c:ser>
          <c:idx val="0"/>
          <c:order val="0"/>
          <c:tx>
            <c:strRef>
              <c:f>'Security Analysis'!$C$22</c:f>
              <c:strCache>
                <c:ptCount val="1"/>
                <c:pt idx="0">
                  <c:v>Exploits &amp; Evasions (Server-Side)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'Security Analysis'!$B$23:$B$28</c:f>
              <c:strCache>
                <c:ptCount val="6"/>
                <c:pt idx="0">
                  <c:v>Cisco FirePOWER 8350</c:v>
                </c:pt>
                <c:pt idx="1">
                  <c:v>Fortinet FortiGate-1500D</c:v>
                </c:pt>
                <c:pt idx="2">
                  <c:v>HP TippingPoint S7500NX</c:v>
                </c:pt>
                <c:pt idx="3">
                  <c:v>IBM Security Network Protection XGS 5100</c:v>
                </c:pt>
                <c:pt idx="4">
                  <c:v>IBM Security Network Protection XGS 7100</c:v>
                </c:pt>
                <c:pt idx="5">
                  <c:v>Palo Alto Networks PA-5020</c:v>
                </c:pt>
              </c:strCache>
            </c:strRef>
          </c:cat>
          <c:val>
            <c:numRef>
              <c:f>'Security Analysis'!$C$23:$C$28</c:f>
              <c:numCache>
                <c:formatCode>0.0%</c:formatCode>
                <c:ptCount val="6"/>
                <c:pt idx="0">
                  <c:v>0.99546998867497172</c:v>
                </c:pt>
                <c:pt idx="1">
                  <c:v>0.9977349943374858</c:v>
                </c:pt>
                <c:pt idx="2">
                  <c:v>0.97961494903737256</c:v>
                </c:pt>
                <c:pt idx="3">
                  <c:v>0.99320498301245752</c:v>
                </c:pt>
                <c:pt idx="4">
                  <c:v>0.99320498301245752</c:v>
                </c:pt>
                <c:pt idx="5">
                  <c:v>0.96375990939977352</c:v>
                </c:pt>
              </c:numCache>
            </c:numRef>
          </c:val>
        </c:ser>
        <c:dLbls>
          <c:showLegendKey val="0"/>
          <c:showVal val="0"/>
          <c:showCatName val="0"/>
          <c:showSerName val="0"/>
          <c:showPercent val="0"/>
          <c:showBubbleSize val="0"/>
        </c:dLbls>
        <c:gapWidth val="150"/>
        <c:axId val="507201352"/>
        <c:axId val="507193904"/>
      </c:barChart>
      <c:catAx>
        <c:axId val="507201352"/>
        <c:scaling>
          <c:orientation val="maxMin"/>
        </c:scaling>
        <c:delete val="0"/>
        <c:axPos val="l"/>
        <c:numFmt formatCode="General" sourceLinked="0"/>
        <c:majorTickMark val="out"/>
        <c:minorTickMark val="none"/>
        <c:tickLblPos val="nextTo"/>
        <c:txPr>
          <a:bodyPr rot="0" vert="horz"/>
          <a:lstStyle/>
          <a:p>
            <a:pPr>
              <a:defRPr/>
            </a:pPr>
            <a:endParaRPr lang="en-US"/>
          </a:p>
        </c:txPr>
        <c:crossAx val="507193904"/>
        <c:crosses val="autoZero"/>
        <c:auto val="1"/>
        <c:lblAlgn val="ctr"/>
        <c:lblOffset val="100"/>
        <c:noMultiLvlLbl val="0"/>
      </c:catAx>
      <c:valAx>
        <c:axId val="507193904"/>
        <c:scaling>
          <c:orientation val="minMax"/>
          <c:max val="1"/>
          <c:min val="0"/>
        </c:scaling>
        <c:delete val="0"/>
        <c:axPos val="t"/>
        <c:majorGridlines>
          <c:spPr>
            <a:ln>
              <a:noFill/>
            </a:ln>
          </c:spPr>
        </c:majorGridlines>
        <c:numFmt formatCode="0%" sourceLinked="0"/>
        <c:majorTickMark val="out"/>
        <c:minorTickMark val="none"/>
        <c:tickLblPos val="nextTo"/>
        <c:crossAx val="507201352"/>
        <c:crosses val="autoZero"/>
        <c:crossBetween val="between"/>
      </c:valAx>
    </c:plotArea>
    <c:plotVisOnly val="1"/>
    <c:dispBlanksAs val="gap"/>
    <c:showDLblsOverMax val="0"/>
  </c:chart>
  <c:spPr>
    <a:ln>
      <a:noFill/>
    </a:ln>
  </c:spPr>
  <c:txPr>
    <a:bodyPr/>
    <a:lstStyle/>
    <a:p>
      <a:pPr>
        <a:defRPr sz="1200">
          <a:latin typeface="+mn-lt"/>
          <a:cs typeface="Verdana"/>
        </a:defRPr>
      </a:pPr>
      <a:endParaRPr lang="en-US"/>
    </a:p>
  </c:txPr>
  <c:printSettings>
    <c:headerFooter/>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manualLayout>
          <c:layoutTarget val="inner"/>
          <c:xMode val="edge"/>
          <c:yMode val="edge"/>
          <c:x val="0.10869801298860987"/>
          <c:y val="0.17909796453683219"/>
          <c:w val="0.85294157734243359"/>
          <c:h val="0.64171508444132908"/>
        </c:manualLayout>
      </c:layout>
      <c:scatterChart>
        <c:scatterStyle val="lineMarker"/>
        <c:varyColors val="0"/>
        <c:ser>
          <c:idx val="0"/>
          <c:order val="0"/>
          <c:tx>
            <c:strRef>
              <c:f>'Security Analysis'!$B$316</c:f>
              <c:strCache>
                <c:ptCount val="1"/>
                <c:pt idx="0">
                  <c:v>Cisco FirePOWER 8350</c:v>
                </c:pt>
              </c:strCache>
            </c:strRef>
          </c:tx>
          <c:spPr>
            <a:ln w="47625">
              <a:noFill/>
            </a:ln>
          </c:spPr>
          <c:marker>
            <c:symbol val="circle"/>
            <c:size val="9"/>
            <c:spPr>
              <a:solidFill>
                <a:schemeClr val="accent1"/>
              </a:solidFill>
              <a:ln w="15875">
                <a:noFill/>
              </a:ln>
            </c:spPr>
          </c:marker>
          <c:dLbls>
            <c:dLbl>
              <c:idx val="0"/>
              <c:layout>
                <c:manualLayout>
                  <c:x val="-0.13015134381226601"/>
                  <c:y val="-7.1687170065494063E-2"/>
                </c:manualLayout>
              </c:layout>
              <c:dLblPos val="r"/>
              <c:showLegendKey val="0"/>
              <c:showVal val="0"/>
              <c:showCatName val="0"/>
              <c:showSerName val="1"/>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900"/>
                </a:pPr>
                <a:endParaRPr lang="en-US"/>
              </a:p>
            </c:txPr>
            <c:dLblPos val="t"/>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'Security Analysis'!$C$316</c:f>
              <c:numCache>
                <c:formatCode>#,##0</c:formatCode>
                <c:ptCount val="1"/>
                <c:pt idx="0">
                  <c:v>18532.8</c:v>
                </c:pt>
              </c:numCache>
            </c:numRef>
          </c:xVal>
          <c:yVal>
            <c:numRef>
              <c:f>'Security Analysis'!$D$316</c:f>
              <c:numCache>
                <c:formatCode>0.0%</c:formatCode>
                <c:ptCount val="1"/>
                <c:pt idx="0">
                  <c:v>0.99518408324552166</c:v>
                </c:pt>
              </c:numCache>
            </c:numRef>
          </c:yVal>
          <c:smooth val="0"/>
        </c:ser>
        <c:ser>
          <c:idx val="1"/>
          <c:order val="1"/>
          <c:tx>
            <c:strRef>
              <c:f>'Security Analysis'!$B$318</c:f>
              <c:strCache>
                <c:ptCount val="1"/>
                <c:pt idx="0">
                  <c:v>HP TippingPoint S7500NX</c:v>
                </c:pt>
              </c:strCache>
            </c:strRef>
          </c:tx>
          <c:spPr>
            <a:ln w="47625">
              <a:noFill/>
            </a:ln>
          </c:spPr>
          <c:marker>
            <c:symbol val="circle"/>
            <c:size val="9"/>
            <c:spPr>
              <a:solidFill>
                <a:schemeClr val="accent1"/>
              </a:solidFill>
              <a:ln>
                <a:noFill/>
              </a:ln>
            </c:spPr>
          </c:marker>
          <c:dPt>
            <c:idx val="0"/>
            <c:marker>
              <c:spPr>
                <a:solidFill>
                  <a:schemeClr val="accent1"/>
                </a:solidFill>
                <a:ln w="15875">
                  <a:noFill/>
                </a:ln>
              </c:spPr>
            </c:marker>
            <c:bubble3D val="0"/>
          </c:dPt>
          <c:dLbls>
            <c:spPr>
              <a:noFill/>
              <a:ln>
                <a:noFill/>
              </a:ln>
              <a:effectLst/>
            </c:spPr>
            <c:txPr>
              <a:bodyPr wrap="square" lIns="38100" tIns="19050" rIns="38100" bIns="19050" anchor="ctr">
                <a:spAutoFit/>
              </a:bodyPr>
              <a:lstStyle/>
              <a:p>
                <a:pPr>
                  <a:defRPr sz="900"/>
                </a:pPr>
                <a:endParaRPr lang="en-US"/>
              </a:p>
            </c:txPr>
            <c:dLblPos val="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'Security Analysis'!$C$318</c:f>
              <c:numCache>
                <c:formatCode>#,##0</c:formatCode>
                <c:ptCount val="1"/>
                <c:pt idx="0">
                  <c:v>18694.400000000001</c:v>
                </c:pt>
              </c:numCache>
            </c:numRef>
          </c:xVal>
          <c:yVal>
            <c:numRef>
              <c:f>'Security Analysis'!$D$318</c:f>
              <c:numCache>
                <c:formatCode>0.0%</c:formatCode>
                <c:ptCount val="1"/>
                <c:pt idx="0">
                  <c:v>0.86619640834260148</c:v>
                </c:pt>
              </c:numCache>
            </c:numRef>
          </c:yVal>
          <c:smooth val="0"/>
        </c:ser>
        <c:ser>
          <c:idx val="2"/>
          <c:order val="2"/>
          <c:tx>
            <c:strRef>
              <c:f>'Security Analysis'!$B$319</c:f>
              <c:strCache>
                <c:ptCount val="1"/>
                <c:pt idx="0">
                  <c:v>IBM Security Network Protection XGS 5100</c:v>
                </c:pt>
              </c:strCache>
            </c:strRef>
          </c:tx>
          <c:spPr>
            <a:ln w="47625">
              <a:noFill/>
            </a:ln>
          </c:spPr>
          <c:marker>
            <c:symbol val="circle"/>
            <c:size val="9"/>
            <c:spPr>
              <a:solidFill>
                <a:schemeClr val="accent1"/>
              </a:solidFill>
              <a:ln w="15875">
                <a:noFill/>
              </a:ln>
            </c:spPr>
          </c:marker>
          <c:dPt>
            <c:idx val="0"/>
            <c:bubble3D val="0"/>
          </c:dPt>
          <c:dLbls>
            <c:dLbl>
              <c:idx val="0"/>
              <c:layout>
                <c:manualLayout>
                  <c:x val="-0.14365097287011402"/>
                  <c:y val="-0.16386399168729326"/>
                </c:manualLayout>
              </c:layout>
              <c:spPr>
                <a:noFill/>
                <a:ln>
                  <a:noFill/>
                </a:ln>
                <a:effectLst/>
              </c:spPr>
              <c:txPr>
                <a:bodyPr wrap="square" lIns="38100" tIns="19050" rIns="38100" bIns="19050" anchor="ctr">
                  <a:noAutofit/>
                </a:bodyPr>
                <a:lstStyle/>
                <a:p>
                  <a:pPr>
                    <a:defRPr sz="900"/>
                  </a:pPr>
                  <a:endParaRPr lang="en-US"/>
                </a:p>
              </c:txPr>
              <c:dLblPos val="r"/>
              <c:showLegendKey val="0"/>
              <c:showVal val="0"/>
              <c:showCatName val="0"/>
              <c:showSerName val="1"/>
              <c:showPercent val="0"/>
              <c:showBubbleSize val="0"/>
              <c:extLst>
                <c:ext xmlns:c15="http://schemas.microsoft.com/office/drawing/2012/chart" uri="{CE6537A1-D6FC-4f65-9D91-7224C49458BB}">
                  <c15:layout>
                    <c:manualLayout>
                      <c:w val="0.30518053738432038"/>
                      <c:h val="6.5069313626705788E-2"/>
                    </c:manualLayout>
                  </c15:layout>
                </c:ext>
              </c:extLst>
            </c:dLbl>
            <c:spPr>
              <a:noFill/>
              <a:ln>
                <a:noFill/>
              </a:ln>
              <a:effectLst/>
            </c:spPr>
            <c:txPr>
              <a:bodyPr wrap="square" lIns="38100" tIns="19050" rIns="38100" bIns="19050" anchor="ctr">
                <a:spAutoFit/>
              </a:bodyPr>
              <a:lstStyle/>
              <a:p>
                <a:pPr>
                  <a:defRPr sz="900"/>
                </a:pPr>
                <a:endParaRPr lang="en-US"/>
              </a:p>
            </c:txPr>
            <c:dLblPos val="t"/>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'Security Analysis'!$C$319</c:f>
              <c:numCache>
                <c:formatCode>#,##0</c:formatCode>
                <c:ptCount val="1"/>
                <c:pt idx="0">
                  <c:v>9168.2000000000007</c:v>
                </c:pt>
              </c:numCache>
            </c:numRef>
          </c:xVal>
          <c:yVal>
            <c:numRef>
              <c:f>'Security Analysis'!$D$319</c:f>
              <c:numCache>
                <c:formatCode>0.0%</c:formatCode>
                <c:ptCount val="1"/>
                <c:pt idx="0">
                  <c:v>0.96755286090621706</c:v>
                </c:pt>
              </c:numCache>
            </c:numRef>
          </c:yVal>
          <c:smooth val="0"/>
        </c:ser>
        <c:ser>
          <c:idx val="3"/>
          <c:order val="3"/>
          <c:tx>
            <c:strRef>
              <c:f>'Security Analysis'!$B$320</c:f>
              <c:strCache>
                <c:ptCount val="1"/>
                <c:pt idx="0">
                  <c:v>IBM Security Network Protection XGS 7100</c:v>
                </c:pt>
              </c:strCache>
            </c:strRef>
          </c:tx>
          <c:spPr>
            <a:ln w="47625">
              <a:noFill/>
            </a:ln>
          </c:spPr>
          <c:marker>
            <c:symbol val="circle"/>
            <c:size val="9"/>
            <c:spPr>
              <a:solidFill>
                <a:schemeClr val="accent1"/>
              </a:solidFill>
              <a:ln w="15875">
                <a:solidFill>
                  <a:schemeClr val="accent1">
                    <a:lumMod val="75000"/>
                  </a:schemeClr>
                </a:solidFill>
              </a:ln>
            </c:spPr>
          </c:marker>
          <c:dLbls>
            <c:dLbl>
              <c:idx val="0"/>
              <c:layout>
                <c:manualLayout>
                  <c:x val="-4.3468913934684309E-3"/>
                  <c:y val="-9.7734027610452759E-2"/>
                </c:manualLayout>
              </c:layout>
              <c:spPr>
                <a:noFill/>
                <a:ln>
                  <a:noFill/>
                </a:ln>
                <a:effectLst/>
              </c:spPr>
              <c:txPr>
                <a:bodyPr wrap="square" lIns="38100" tIns="19050" rIns="38100" bIns="19050" anchor="ctr">
                  <a:noAutofit/>
                </a:bodyPr>
                <a:lstStyle/>
                <a:p>
                  <a:pPr>
                    <a:defRPr sz="900"/>
                  </a:pPr>
                  <a:endParaRPr lang="en-US"/>
                </a:p>
              </c:txPr>
              <c:dLblPos val="r"/>
              <c:showLegendKey val="0"/>
              <c:showVal val="0"/>
              <c:showCatName val="0"/>
              <c:showSerName val="1"/>
              <c:showPercent val="0"/>
              <c:showBubbleSize val="0"/>
              <c:extLst>
                <c:ext xmlns:c15="http://schemas.microsoft.com/office/drawing/2012/chart" uri="{CE6537A1-D6FC-4f65-9D91-7224C49458BB}">
                  <c15:layout>
                    <c:manualLayout>
                      <c:w val="0.30890020997112422"/>
                      <c:h val="6.9415961163559886E-2"/>
                    </c:manualLayout>
                  </c15:layout>
                </c:ext>
              </c:extLst>
            </c:dLbl>
            <c:spPr>
              <a:noFill/>
              <a:ln>
                <a:noFill/>
              </a:ln>
              <a:effectLst/>
            </c:spPr>
            <c:txPr>
              <a:bodyPr wrap="square" lIns="38100" tIns="19050" rIns="38100" bIns="19050" anchor="ctr">
                <a:spAutoFit/>
              </a:bodyPr>
              <a:lstStyle/>
              <a:p>
                <a:pPr>
                  <a:defRPr sz="900"/>
                </a:pPr>
                <a:endParaRPr lang="en-US"/>
              </a:p>
            </c:txPr>
            <c:dLblPos val="t"/>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'Security Analysis'!$C$320</c:f>
              <c:numCache>
                <c:formatCode>#,##0</c:formatCode>
                <c:ptCount val="1"/>
                <c:pt idx="0">
                  <c:v>24194</c:v>
                </c:pt>
              </c:numCache>
            </c:numRef>
          </c:xVal>
          <c:yVal>
            <c:numRef>
              <c:f>'Security Analysis'!$D$320</c:f>
              <c:numCache>
                <c:formatCode>0.0%</c:formatCode>
                <c:ptCount val="1"/>
                <c:pt idx="0">
                  <c:v>0.96755286090621706</c:v>
                </c:pt>
              </c:numCache>
            </c:numRef>
          </c:yVal>
          <c:smooth val="0"/>
        </c:ser>
        <c:ser>
          <c:idx val="4"/>
          <c:order val="4"/>
          <c:tx>
            <c:strRef>
              <c:f>'Security Analysis'!$B$321</c:f>
              <c:strCache>
                <c:ptCount val="1"/>
                <c:pt idx="0">
                  <c:v>Palo Alto Networks PA-5020</c:v>
                </c:pt>
              </c:strCache>
            </c:strRef>
          </c:tx>
          <c:spPr>
            <a:ln w="47625">
              <a:noFill/>
            </a:ln>
          </c:spPr>
          <c:marker>
            <c:symbol val="circle"/>
            <c:size val="9"/>
            <c:spPr>
              <a:solidFill>
                <a:schemeClr val="accent1"/>
              </a:solidFill>
              <a:ln w="15875">
                <a:noFill/>
              </a:ln>
            </c:spPr>
          </c:marker>
          <c:dLbls>
            <c:dLbl>
              <c:idx val="0"/>
              <c:layout/>
              <c:tx>
                <c:rich>
                  <a:bodyPr wrap="square" lIns="38100" tIns="19050" rIns="38100" bIns="19050" anchor="ctr">
                    <a:noAutofit/>
                  </a:bodyPr>
                  <a:lstStyle/>
                  <a:p>
                    <a:pPr>
                      <a:defRPr sz="900"/>
                    </a:pPr>
                    <a:fld id="{BF64B98B-DCA4-4500-AB99-8E60B4F71A74}" type="SERIESNAME">
                      <a:rPr lang="en-US" sz="900"/>
                      <a:pPr>
                        <a:defRPr sz="900"/>
                      </a:pPr>
                      <a:t>[SERIES NAME]</a:t>
                    </a:fld>
                    <a:endParaRPr lang="en-US"/>
                  </a:p>
                </c:rich>
              </c:tx>
              <c:spPr>
                <a:noFill/>
                <a:ln>
                  <a:noFill/>
                </a:ln>
                <a:effectLst/>
              </c:spPr>
              <c:dLblPos val="t"/>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15:dlblFieldTable/>
                  <c15:showDataLabelsRange val="0"/>
                </c:ext>
              </c:extLst>
            </c:dLbl>
            <c:spPr>
              <a:noFill/>
              <a:ln>
                <a:noFill/>
              </a:ln>
              <a:effectLst/>
            </c:spPr>
            <c:txPr>
              <a:bodyPr wrap="square" lIns="38100" tIns="19050" rIns="38100" bIns="19050" anchor="ctr">
                <a:spAutoFit/>
              </a:bodyPr>
              <a:lstStyle/>
              <a:p>
                <a:pPr>
                  <a:defRPr sz="900"/>
                </a:pPr>
                <a:endParaRPr lang="en-US"/>
              </a:p>
            </c:txPr>
            <c:dLblPos val="t"/>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'Security Analysis'!$C$321</c:f>
              <c:numCache>
                <c:formatCode>#,##0</c:formatCode>
                <c:ptCount val="1"/>
                <c:pt idx="0">
                  <c:v>2972.82</c:v>
                </c:pt>
              </c:numCache>
            </c:numRef>
          </c:xVal>
          <c:yVal>
            <c:numRef>
              <c:f>'Security Analysis'!$D$321</c:f>
              <c:numCache>
                <c:formatCode>0.0%</c:formatCode>
                <c:ptCount val="1"/>
                <c:pt idx="0">
                  <c:v>0.987881981032666</c:v>
                </c:pt>
              </c:numCache>
            </c:numRef>
          </c:yVal>
          <c:smooth val="0"/>
        </c:ser>
        <c:ser>
          <c:idx val="5"/>
          <c:order val="5"/>
          <c:tx>
            <c:strRef>
              <c:f>'Security Analysis'!$B$317</c:f>
              <c:strCache>
                <c:ptCount val="1"/>
                <c:pt idx="0">
                  <c:v>Fortinet FortiGate-1500D</c:v>
                </c:pt>
              </c:strCache>
            </c:strRef>
          </c:tx>
          <c:spPr>
            <a:ln w="47625">
              <a:noFill/>
            </a:ln>
          </c:spPr>
          <c:marker>
            <c:spPr>
              <a:solidFill>
                <a:schemeClr val="accent1"/>
              </a:solidFill>
              <a:ln>
                <a:noFill/>
              </a:ln>
            </c:spPr>
          </c:marker>
          <c:dLbls>
            <c:dLbl>
              <c:idx val="0"/>
              <c:layout>
                <c:manualLayout>
                  <c:x val="-4.4636071041645985E-2"/>
                  <c:y val="6.5199713052811428E-2"/>
                </c:manualLayout>
              </c:layout>
              <c:spPr>
                <a:noFill/>
                <a:ln>
                  <a:noFill/>
                </a:ln>
                <a:effectLst/>
              </c:spPr>
              <c:txPr>
                <a:bodyPr wrap="square" lIns="38100" tIns="19050" rIns="38100" bIns="19050" anchor="ctr">
                  <a:noAutofit/>
                </a:bodyPr>
                <a:lstStyle/>
                <a:p>
                  <a:pPr>
                    <a:defRPr sz="1000"/>
                  </a:pPr>
                  <a:endParaRPr lang="en-US"/>
                </a:p>
              </c:txPr>
              <c:showLegendKey val="0"/>
              <c:showVal val="0"/>
              <c:showCatName val="0"/>
              <c:showSerName val="1"/>
              <c:showPercent val="0"/>
              <c:showBubbleSize val="0"/>
              <c:extLst>
                <c:ext xmlns:c15="http://schemas.microsoft.com/office/drawing/2012/chart" uri="{CE6537A1-D6FC-4f65-9D91-7224C49458BB}">
                  <c15:layout>
                    <c:manualLayout>
                      <c:w val="0.21076587472787081"/>
                      <c:h val="5.8288543469213416E-2"/>
                    </c:manualLayout>
                  </c15:layout>
                </c:ext>
              </c:extLst>
            </c:dLbl>
            <c:spPr>
              <a:noFill/>
              <a:ln>
                <a:noFill/>
              </a:ln>
              <a:effectLst/>
            </c:spPr>
            <c:txPr>
              <a:bodyPr wrap="square" lIns="38100" tIns="19050" rIns="38100" bIns="19050" anchor="ctr">
                <a:spAutoFit/>
              </a:bodyPr>
              <a:lstStyle/>
              <a:p>
                <a:pPr>
                  <a:defRPr sz="1000"/>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'Security Analysis'!$C$317</c:f>
              <c:numCache>
                <c:formatCode>#,##0</c:formatCode>
                <c:ptCount val="1"/>
                <c:pt idx="0">
                  <c:v>11726.8</c:v>
                </c:pt>
              </c:numCache>
            </c:numRef>
          </c:xVal>
          <c:yVal>
            <c:numRef>
              <c:f>'Security Analysis'!$D$317</c:f>
              <c:numCache>
                <c:formatCode>0.0%</c:formatCode>
                <c:ptCount val="1"/>
                <c:pt idx="0">
                  <c:v>0.99160531305383703</c:v>
                </c:pt>
              </c:numCache>
            </c:numRef>
          </c:yVal>
          <c:smooth val="0"/>
        </c:ser>
        <c:dLbls>
          <c:showLegendKey val="0"/>
          <c:showVal val="0"/>
          <c:showCatName val="0"/>
          <c:showSerName val="1"/>
          <c:showPercent val="0"/>
          <c:showBubbleSize val="0"/>
        </c:dLbls>
        <c:axId val="507195080"/>
        <c:axId val="507197040"/>
      </c:scatterChart>
      <c:valAx>
        <c:axId val="507195080"/>
        <c:scaling>
          <c:orientation val="minMax"/>
        </c:scaling>
        <c:delete val="0"/>
        <c:axPos val="b"/>
        <c:title>
          <c:tx>
            <c:rich>
              <a:bodyPr/>
              <a:lstStyle/>
              <a:p>
                <a:pPr algn="ctr" rtl="0">
                  <a:defRPr/>
                </a:pPr>
                <a:r>
                  <a:rPr lang="en-US"/>
                  <a:t>NSS-Tested Throughput (Mbps)</a:t>
                </a:r>
              </a:p>
            </c:rich>
          </c:tx>
          <c:layout/>
          <c:overlay val="0"/>
        </c:title>
        <c:numFmt formatCode="#,##0" sourceLinked="1"/>
        <c:majorTickMark val="out"/>
        <c:minorTickMark val="none"/>
        <c:tickLblPos val="nextTo"/>
        <c:crossAx val="507197040"/>
        <c:crosses val="autoZero"/>
        <c:crossBetween val="midCat"/>
      </c:valAx>
      <c:valAx>
        <c:axId val="507197040"/>
        <c:scaling>
          <c:orientation val="minMax"/>
          <c:max val="1"/>
          <c:min val="0.5"/>
        </c:scaling>
        <c:delete val="0"/>
        <c:axPos val="l"/>
        <c:majorGridlines>
          <c:spPr>
            <a:ln>
              <a:noFill/>
            </a:ln>
          </c:spPr>
        </c:majorGridlines>
        <c:title>
          <c:tx>
            <c:rich>
              <a:bodyPr rot="-5400000" vert="horz"/>
              <a:lstStyle/>
              <a:p>
                <a:pPr algn="ctr" rtl="0">
                  <a:defRPr/>
                </a:pPr>
                <a:r>
                  <a:rPr lang="en-US"/>
                  <a:t>Security Effectiveness</a:t>
                </a:r>
              </a:p>
              <a:p>
                <a:pPr algn="ctr" rtl="0">
                  <a:defRPr/>
                </a:pPr>
                <a:endParaRPr lang="en-US"/>
              </a:p>
            </c:rich>
          </c:tx>
          <c:layout/>
          <c:overlay val="0"/>
        </c:title>
        <c:numFmt formatCode="0%" sourceLinked="0"/>
        <c:majorTickMark val="out"/>
        <c:minorTickMark val="none"/>
        <c:tickLblPos val="nextTo"/>
        <c:spPr>
          <a:ln>
            <a:noFill/>
          </a:ln>
        </c:spPr>
        <c:crossAx val="507195080"/>
        <c:crosses val="autoZero"/>
        <c:crossBetween val="midCat"/>
      </c:valAx>
    </c:plotArea>
    <c:plotVisOnly val="1"/>
    <c:dispBlanksAs val="gap"/>
    <c:showDLblsOverMax val="0"/>
  </c:chart>
  <c:spPr>
    <a:ln>
      <a:noFill/>
    </a:ln>
  </c:spPr>
  <c:txPr>
    <a:bodyPr/>
    <a:lstStyle/>
    <a:p>
      <a:pPr>
        <a:defRPr sz="1050">
          <a:latin typeface="+mn-lt"/>
          <a:cs typeface="Verdana"/>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8" Type="http://schemas.openxmlformats.org/officeDocument/2006/relationships/chart" Target="../charts/chart10.xml"/><Relationship Id="rId3" Type="http://schemas.openxmlformats.org/officeDocument/2006/relationships/chart" Target="../charts/chart5.xml"/><Relationship Id="rId7" Type="http://schemas.openxmlformats.org/officeDocument/2006/relationships/chart" Target="../charts/chart9.xml"/><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8.xml"/><Relationship Id="rId13" Type="http://schemas.openxmlformats.org/officeDocument/2006/relationships/chart" Target="../charts/chart23.xml"/><Relationship Id="rId3" Type="http://schemas.openxmlformats.org/officeDocument/2006/relationships/chart" Target="../charts/chart13.xml"/><Relationship Id="rId7" Type="http://schemas.openxmlformats.org/officeDocument/2006/relationships/chart" Target="../charts/chart17.xml"/><Relationship Id="rId12" Type="http://schemas.openxmlformats.org/officeDocument/2006/relationships/chart" Target="../charts/chart22.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11" Type="http://schemas.openxmlformats.org/officeDocument/2006/relationships/chart" Target="../charts/chart21.xml"/><Relationship Id="rId5" Type="http://schemas.openxmlformats.org/officeDocument/2006/relationships/chart" Target="../charts/chart15.xml"/><Relationship Id="rId10" Type="http://schemas.openxmlformats.org/officeDocument/2006/relationships/chart" Target="../charts/chart20.xml"/><Relationship Id="rId4" Type="http://schemas.openxmlformats.org/officeDocument/2006/relationships/chart" Target="../charts/chart14.xml"/><Relationship Id="rId9" Type="http://schemas.openxmlformats.org/officeDocument/2006/relationships/chart" Target="../charts/chart19.xml"/><Relationship Id="rId14" Type="http://schemas.openxmlformats.org/officeDocument/2006/relationships/chart" Target="../charts/chart24.xml"/></Relationships>
</file>

<file path=xl/drawings/drawing1.xml><?xml version="1.0" encoding="utf-8"?>
<xdr:wsDr xmlns:xdr="http://schemas.openxmlformats.org/drawingml/2006/spreadsheetDrawing" xmlns:a="http://schemas.openxmlformats.org/drawingml/2006/main">
  <xdr:twoCellAnchor editAs="oneCell">
    <xdr:from>
      <xdr:col>2</xdr:col>
      <xdr:colOff>445496</xdr:colOff>
      <xdr:row>0</xdr:row>
      <xdr:rowOff>50800</xdr:rowOff>
    </xdr:from>
    <xdr:to>
      <xdr:col>2</xdr:col>
      <xdr:colOff>1738903</xdr:colOff>
      <xdr:row>3</xdr:row>
      <xdr:rowOff>50800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791696" y="50800"/>
          <a:ext cx="1293407" cy="53340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269104</xdr:colOff>
      <xdr:row>3</xdr:row>
      <xdr:rowOff>0</xdr:rowOff>
    </xdr:from>
    <xdr:to>
      <xdr:col>9</xdr:col>
      <xdr:colOff>749300</xdr:colOff>
      <xdr:row>46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122669</xdr:colOff>
      <xdr:row>2</xdr:row>
      <xdr:rowOff>154711</xdr:rowOff>
    </xdr:from>
    <xdr:to>
      <xdr:col>19</xdr:col>
      <xdr:colOff>414770</xdr:colOff>
      <xdr:row>45</xdr:row>
      <xdr:rowOff>161059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0.34562</cdr:x>
      <cdr:y>0.14452</cdr:y>
    </cdr:from>
    <cdr:to>
      <cdr:x>0.56954</cdr:x>
      <cdr:y>0.17608</cdr:y>
    </cdr:to>
    <cdr:sp macro="" textlink="">
      <cdr:nvSpPr>
        <cdr:cNvPr id="3" name="TextBox 2"/>
        <cdr:cNvSpPr txBox="1"/>
      </cdr:nvSpPr>
      <cdr:spPr>
        <a:xfrm xmlns:a="http://schemas.openxmlformats.org/drawingml/2006/main">
          <a:off x="3372807" y="974923"/>
          <a:ext cx="2185160" cy="21290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900" b="0" i="0" baseline="0">
              <a:effectLst/>
              <a:latin typeface="+mn-lt"/>
              <a:ea typeface="+mn-ea"/>
              <a:cs typeface="+mn-cs"/>
            </a:rPr>
            <a:t>IBM Security Network Protection XGS 7100</a:t>
          </a:r>
          <a:endParaRPr lang="en-US" sz="900">
            <a:effectLst/>
          </a:endParaRPr>
        </a:p>
        <a:p xmlns:a="http://schemas.openxmlformats.org/drawingml/2006/main">
          <a:endParaRPr lang="en-US" sz="1100"/>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393700</xdr:colOff>
      <xdr:row>68</xdr:row>
      <xdr:rowOff>78739</xdr:rowOff>
    </xdr:from>
    <xdr:to>
      <xdr:col>6</xdr:col>
      <xdr:colOff>904875</xdr:colOff>
      <xdr:row>92</xdr:row>
      <xdr:rowOff>130969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622301</xdr:colOff>
      <xdr:row>122</xdr:row>
      <xdr:rowOff>153246</xdr:rowOff>
    </xdr:from>
    <xdr:to>
      <xdr:col>6</xdr:col>
      <xdr:colOff>1154905</xdr:colOff>
      <xdr:row>147</xdr:row>
      <xdr:rowOff>3175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596900</xdr:colOff>
      <xdr:row>219</xdr:row>
      <xdr:rowOff>149859</xdr:rowOff>
    </xdr:from>
    <xdr:to>
      <xdr:col>6</xdr:col>
      <xdr:colOff>916781</xdr:colOff>
      <xdr:row>244</xdr:row>
      <xdr:rowOff>11905</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721995</xdr:colOff>
      <xdr:row>246</xdr:row>
      <xdr:rowOff>134619</xdr:rowOff>
    </xdr:from>
    <xdr:to>
      <xdr:col>6</xdr:col>
      <xdr:colOff>797718</xdr:colOff>
      <xdr:row>270</xdr:row>
      <xdr:rowOff>154780</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371475</xdr:colOff>
      <xdr:row>94</xdr:row>
      <xdr:rowOff>106203</xdr:rowOff>
    </xdr:from>
    <xdr:to>
      <xdr:col>6</xdr:col>
      <xdr:colOff>978693</xdr:colOff>
      <xdr:row>118</xdr:row>
      <xdr:rowOff>108743</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419100</xdr:colOff>
      <xdr:row>193</xdr:row>
      <xdr:rowOff>38100</xdr:rowOff>
    </xdr:from>
    <xdr:to>
      <xdr:col>6</xdr:col>
      <xdr:colOff>904875</xdr:colOff>
      <xdr:row>216</xdr:row>
      <xdr:rowOff>166687</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1394114</xdr:colOff>
      <xdr:row>325</xdr:row>
      <xdr:rowOff>23381</xdr:rowOff>
    </xdr:from>
    <xdr:to>
      <xdr:col>5</xdr:col>
      <xdr:colOff>2069522</xdr:colOff>
      <xdr:row>344</xdr:row>
      <xdr:rowOff>49573</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974724</xdr:colOff>
      <xdr:row>168</xdr:row>
      <xdr:rowOff>112711</xdr:rowOff>
    </xdr:from>
    <xdr:to>
      <xdr:col>9</xdr:col>
      <xdr:colOff>800099</xdr:colOff>
      <xdr:row>190</xdr:row>
      <xdr:rowOff>50800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333376</xdr:colOff>
      <xdr:row>287</xdr:row>
      <xdr:rowOff>6350</xdr:rowOff>
    </xdr:from>
    <xdr:to>
      <xdr:col>5</xdr:col>
      <xdr:colOff>396875</xdr:colOff>
      <xdr:row>305</xdr:row>
      <xdr:rowOff>193675</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278556</xdr:colOff>
      <xdr:row>114</xdr:row>
      <xdr:rowOff>101602</xdr:rowOff>
    </xdr:from>
    <xdr:to>
      <xdr:col>5</xdr:col>
      <xdr:colOff>1168400</xdr:colOff>
      <xdr:row>138</xdr:row>
      <xdr:rowOff>40640</xdr:rowOff>
    </xdr:to>
    <xdr:graphicFrame macro="">
      <xdr:nvGraphicFramePr>
        <xdr:cNvPr id="31" name="Chart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279401</xdr:colOff>
      <xdr:row>87</xdr:row>
      <xdr:rowOff>93978</xdr:rowOff>
    </xdr:from>
    <xdr:to>
      <xdr:col>5</xdr:col>
      <xdr:colOff>1168400</xdr:colOff>
      <xdr:row>111</xdr:row>
      <xdr:rowOff>30480</xdr:rowOff>
    </xdr:to>
    <xdr:graphicFrame macro="">
      <xdr:nvGraphicFramePr>
        <xdr:cNvPr id="32" name="Chart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1284393</xdr:colOff>
      <xdr:row>144</xdr:row>
      <xdr:rowOff>122132</xdr:rowOff>
    </xdr:from>
    <xdr:to>
      <xdr:col>6</xdr:col>
      <xdr:colOff>488315</xdr:colOff>
      <xdr:row>168</xdr:row>
      <xdr:rowOff>62865</xdr:rowOff>
    </xdr:to>
    <xdr:graphicFrame macro="">
      <xdr:nvGraphicFramePr>
        <xdr:cNvPr id="33"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808568</xdr:colOff>
      <xdr:row>176</xdr:row>
      <xdr:rowOff>28784</xdr:rowOff>
    </xdr:from>
    <xdr:to>
      <xdr:col>5</xdr:col>
      <xdr:colOff>734219</xdr:colOff>
      <xdr:row>195</xdr:row>
      <xdr:rowOff>20320</xdr:rowOff>
    </xdr:to>
    <xdr:graphicFrame macro="">
      <xdr:nvGraphicFramePr>
        <xdr:cNvPr id="34"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697653</xdr:colOff>
      <xdr:row>198</xdr:row>
      <xdr:rowOff>13545</xdr:rowOff>
    </xdr:from>
    <xdr:to>
      <xdr:col>5</xdr:col>
      <xdr:colOff>762000</xdr:colOff>
      <xdr:row>217</xdr:row>
      <xdr:rowOff>0</xdr:rowOff>
    </xdr:to>
    <xdr:graphicFrame macro="">
      <xdr:nvGraphicFramePr>
        <xdr:cNvPr id="35" name="Chart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648547</xdr:colOff>
      <xdr:row>58</xdr:row>
      <xdr:rowOff>175261</xdr:rowOff>
    </xdr:from>
    <xdr:to>
      <xdr:col>5</xdr:col>
      <xdr:colOff>1544320</xdr:colOff>
      <xdr:row>82</xdr:row>
      <xdr:rowOff>71120</xdr:rowOff>
    </xdr:to>
    <xdr:graphicFrame macro="">
      <xdr:nvGraphicFramePr>
        <xdr:cNvPr id="36" name="Chart 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704426</xdr:colOff>
      <xdr:row>219</xdr:row>
      <xdr:rowOff>30481</xdr:rowOff>
    </xdr:from>
    <xdr:to>
      <xdr:col>5</xdr:col>
      <xdr:colOff>772160</xdr:colOff>
      <xdr:row>238</xdr:row>
      <xdr:rowOff>20321</xdr:rowOff>
    </xdr:to>
    <xdr:graphicFrame macro="">
      <xdr:nvGraphicFramePr>
        <xdr:cNvPr id="38" name="Chart 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640079</xdr:colOff>
      <xdr:row>240</xdr:row>
      <xdr:rowOff>213359</xdr:rowOff>
    </xdr:from>
    <xdr:to>
      <xdr:col>5</xdr:col>
      <xdr:colOff>711200</xdr:colOff>
      <xdr:row>259</xdr:row>
      <xdr:rowOff>121921</xdr:rowOff>
    </xdr:to>
    <xdr:graphicFrame macro="">
      <xdr:nvGraphicFramePr>
        <xdr:cNvPr id="39" name="Chart 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53975</xdr:colOff>
      <xdr:row>262</xdr:row>
      <xdr:rowOff>41910</xdr:rowOff>
    </xdr:from>
    <xdr:to>
      <xdr:col>5</xdr:col>
      <xdr:colOff>848995</xdr:colOff>
      <xdr:row>280</xdr:row>
      <xdr:rowOff>143510</xdr:rowOff>
    </xdr:to>
    <xdr:graphicFrame macro="">
      <xdr:nvGraphicFramePr>
        <xdr:cNvPr id="40" name="Chart 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447040</xdr:colOff>
      <xdr:row>308</xdr:row>
      <xdr:rowOff>132080</xdr:rowOff>
    </xdr:from>
    <xdr:to>
      <xdr:col>5</xdr:col>
      <xdr:colOff>518160</xdr:colOff>
      <xdr:row>327</xdr:row>
      <xdr:rowOff>121920</xdr:rowOff>
    </xdr:to>
    <xdr:graphicFrame macro="">
      <xdr:nvGraphicFramePr>
        <xdr:cNvPr id="23"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447040</xdr:colOff>
      <xdr:row>331</xdr:row>
      <xdr:rowOff>20320</xdr:rowOff>
    </xdr:from>
    <xdr:to>
      <xdr:col>5</xdr:col>
      <xdr:colOff>518160</xdr:colOff>
      <xdr:row>350</xdr:row>
      <xdr:rowOff>0</xdr:rowOff>
    </xdr:to>
    <xdr:graphicFrame macro="">
      <xdr:nvGraphicFramePr>
        <xdr:cNvPr id="24"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396240</xdr:colOff>
      <xdr:row>353</xdr:row>
      <xdr:rowOff>40640</xdr:rowOff>
    </xdr:from>
    <xdr:to>
      <xdr:col>5</xdr:col>
      <xdr:colOff>467360</xdr:colOff>
      <xdr:row>372</xdr:row>
      <xdr:rowOff>30480</xdr:rowOff>
    </xdr:to>
    <xdr:graphicFrame macro="">
      <xdr:nvGraphicFramePr>
        <xdr:cNvPr id="25"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374</xdr:row>
      <xdr:rowOff>0</xdr:rowOff>
    </xdr:from>
    <xdr:to>
      <xdr:col>6</xdr:col>
      <xdr:colOff>371475</xdr:colOff>
      <xdr:row>398</xdr:row>
      <xdr:rowOff>0</xdr:rowOff>
    </xdr:to>
    <xdr:graphicFrame macro="">
      <xdr:nvGraphicFramePr>
        <xdr:cNvPr id="1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wsDr>
</file>

<file path=xl/tables/table1.xml><?xml version="1.0" encoding="utf-8"?>
<table xmlns="http://schemas.openxmlformats.org/spreadsheetml/2006/main" id="16" name="Inputs_table5" displayName="Inputs_table5" ref="B28:H33" totalsRowShown="0" headerRowDxfId="859" dataDxfId="858">
  <autoFilter ref="B28:H33"/>
  <tableColumns count="7">
    <tableColumn id="1" name="-" dataDxfId="857" dataCellStyle="Note"/>
    <tableColumn id="2" name="Cisco FirePOWER 8350" dataDxfId="856"/>
    <tableColumn id="3" name="Fortinet FortiGate-1500D" dataDxfId="855"/>
    <tableColumn id="4" name="HP TippingPoint S7500NX" dataDxfId="854"/>
    <tableColumn id="9" name="IBM Security Network Protection XGS 5100" dataDxfId="853" dataCellStyle="Input"/>
    <tableColumn id="5" name="IBM Security Network Protection XGS 7100" dataDxfId="852"/>
    <tableColumn id="6" name="Palo Alto Networks PA-5020" dataDxfId="851"/>
  </tableColumns>
  <tableStyleInfo name="TableStyleLight9" showFirstColumn="0" showLastColumn="0" showRowStripes="1" showColumnStripes="0"/>
</table>
</file>

<file path=xl/tables/table10.xml><?xml version="1.0" encoding="utf-8"?>
<table xmlns="http://schemas.openxmlformats.org/spreadsheetml/2006/main" id="46" name="IPS_security_table5" displayName="IPS_security_table5" ref="B40:P46" totalsRowShown="0" headerRowDxfId="774" dataDxfId="773" tableBorderDxfId="772">
  <autoFilter ref="B40:P46"/>
  <tableColumns count="15">
    <tableColumn id="1" name="Product" dataDxfId="771"/>
    <tableColumn id="2" name="Overall Evasion Results" dataDxfId="770" dataCellStyle="Percent">
      <calculatedColumnFormula>SUM(IPS_security_table5[[#This Row],[IP Packet Fragmentation]:[TCP Segmentation + SMB / NETBIOS Evasions]])</calculatedColumnFormula>
    </tableColumn>
    <tableColumn id="3" name="IP Packet Fragmentation" dataDxfId="247" dataCellStyle="Percent">
      <calculatedColumnFormula>HLOOKUP(IPS_security_table5[[#This Row],[Product]],Inputs_table6[#All],3,FALSE)</calculatedColumnFormula>
    </tableColumn>
    <tableColumn id="4" name="TCP Stream Segmentation" dataDxfId="246" dataCellStyle="Percent">
      <calculatedColumnFormula>HLOOKUP(IPS_security_table5[[#This Row],[Product]],Inputs_table6[#All],4,FALSE)</calculatedColumnFormula>
    </tableColumn>
    <tableColumn id="5" name="RPC Fragmentation" dataDxfId="245" dataCellStyle="Percent">
      <calculatedColumnFormula>HLOOKUP(IPS_security_table5[[#This Row],[Product]],Inputs_table6[#All],5,FALSE)</calculatedColumnFormula>
    </tableColumn>
    <tableColumn id="6" name="SMB &amp; NetBIOS Evasions" dataDxfId="244" dataCellStyle="Percent">
      <calculatedColumnFormula>HLOOKUP(IPS_security_table5[[#This Row],[Product]],Inputs_table6[#All],6,FALSE)</calculatedColumnFormula>
    </tableColumn>
    <tableColumn id="7" name="URL Obfuscation" dataDxfId="243" dataCellStyle="Percent">
      <calculatedColumnFormula>HLOOKUP(IPS_security_table5[[#This Row],[Product]],Inputs_table6[#All],7,FALSE)</calculatedColumnFormula>
    </tableColumn>
    <tableColumn id="8" name="HTML Obfuscation" dataDxfId="242" dataCellStyle="Percent">
      <calculatedColumnFormula>HLOOKUP(IPS_security_table5[[#This Row],[Product]],Inputs_table6[#All],8,FALSE)</calculatedColumnFormula>
    </tableColumn>
    <tableColumn id="9" name="Payload Encoding" dataDxfId="241" dataCellStyle="Percent">
      <calculatedColumnFormula>HLOOKUP(IPS_security_table5[[#This Row],[Product]],Inputs_table6[#All],9,FALSE)</calculatedColumnFormula>
    </tableColumn>
    <tableColumn id="10" name="FTP Evasion" dataDxfId="240" dataCellStyle="Percent">
      <calculatedColumnFormula>HLOOKUP(IPS_security_table5[[#This Row],[Product]],Inputs_table6[#All],10,FALSE)</calculatedColumnFormula>
    </tableColumn>
    <tableColumn id="11" name="IP Fragmentation + TCP Segmentation" dataDxfId="239" dataCellStyle="Percent">
      <calculatedColumnFormula>HLOOKUP(IPS_security_table5[[#This Row],[Product]],Inputs_table6[#All],12,FALSE)</calculatedColumnFormula>
    </tableColumn>
    <tableColumn id="12" name="IP Fragmentation  + MSRPC Fragmentation " dataDxfId="238" dataCellStyle="Percent">
      <calculatedColumnFormula>HLOOKUP(IPS_security_table5[[#This Row],[Product]],Inputs_table6[#All],13,FALSE)</calculatedColumnFormula>
    </tableColumn>
    <tableColumn id="13" name="IP Fragmentation  + SMB Evasions" dataDxfId="237" dataCellStyle="Percent">
      <calculatedColumnFormula>HLOOKUP(IPS_security_table5[[#This Row],[Product]],Inputs_table6[#All],14,FALSE)</calculatedColumnFormula>
    </tableColumn>
    <tableColumn id="14" name="TCP Segmentation + SMB / NETBIOS Evasions" dataDxfId="236" dataCellStyle="Percent">
      <calculatedColumnFormula>HLOOKUP(IPS_security_table5[[#This Row],[Product]],Inputs_table6[#All],15,FALSE)</calculatedColumnFormula>
    </tableColumn>
    <tableColumn id="16" name="TCP Split Handshake" dataDxfId="235" dataCellStyle="Percent">
      <calculatedColumnFormula>HLOOKUP(IPS_security_table5[[#This Row],[Product]],Inputs_table6[#All],16,FALSE)</calculatedColumnFormula>
    </tableColumn>
  </tableColumns>
  <tableStyleInfo name="TableStyleLight9" showFirstColumn="0" showLastColumn="0" showRowStripes="1" showColumnStripes="0"/>
</table>
</file>

<file path=xl/tables/table11.xml><?xml version="1.0" encoding="utf-8"?>
<table xmlns="http://schemas.openxmlformats.org/spreadsheetml/2006/main" id="48" name="IPS_security_table6" displayName="IPS_security_table6" ref="B50:P56" totalsRowShown="0" headerRowDxfId="769" dataDxfId="768" tableBorderDxfId="767">
  <autoFilter ref="B50:P56"/>
  <tableColumns count="15">
    <tableColumn id="1" name="Product" dataDxfId="766"/>
    <tableColumn id="2" name="Attacker Initiated Results" dataDxfId="228" dataCellStyle="Percent">
      <calculatedColumnFormula>SUM(IPS_security_table6[[#This Row],[IP Packet Fragmentation]:[TCP Segmentation + SMB / NETBIOS Evasions]])</calculatedColumnFormula>
    </tableColumn>
    <tableColumn id="3" name="IP Packet Fragmentation" dataDxfId="227" dataCellStyle="Percent">
      <calculatedColumnFormula>HLOOKUP(IPS_security_table6[[#This Row],[Product]],Inputs_table6[#All],3,FALSE)</calculatedColumnFormula>
    </tableColumn>
    <tableColumn id="4" name="TCP Stream Segmentation" dataDxfId="226" dataCellStyle="Percent">
      <calculatedColumnFormula>HLOOKUP(IPS_security_table6[[#This Row],[Product]],Inputs_table6[#All],4,FALSE)</calculatedColumnFormula>
    </tableColumn>
    <tableColumn id="5" name="RPC Fragmentation" dataDxfId="225" dataCellStyle="Percent">
      <calculatedColumnFormula>HLOOKUP(IPS_security_table6[[#This Row],[Product]],Inputs_table6[#All],5,FALSE)</calculatedColumnFormula>
    </tableColumn>
    <tableColumn id="6" name="SMB &amp; NetBIOS Evasions" dataDxfId="224" dataCellStyle="Percent">
      <calculatedColumnFormula>HLOOKUP(IPS_security_table6[[#This Row],[Product]],Inputs_table6[#All],6,FALSE)</calculatedColumnFormula>
    </tableColumn>
    <tableColumn id="7" name="URL Obfuscation" dataDxfId="223" dataCellStyle="Percent">
      <calculatedColumnFormula>HLOOKUP(IPS_security_table6[[#This Row],[Product]],Inputs_table6[#All],7,FALSE)</calculatedColumnFormula>
    </tableColumn>
    <tableColumn id="8" name="HTML Obfuscation" dataDxfId="765" dataCellStyle="Percent"/>
    <tableColumn id="9" name="Payload Encoding" dataDxfId="764" dataCellStyle="Percent"/>
    <tableColumn id="10" name="FTP Evasion" dataDxfId="234" dataCellStyle="Percent">
      <calculatedColumnFormula>HLOOKUP(IPS_security_table6[[#This Row],[Product]],Inputs_table6[#All],10,FALSE)</calculatedColumnFormula>
    </tableColumn>
    <tableColumn id="11" name="IP Fragmentation + TCP Segmentation" dataDxfId="233" dataCellStyle="Percent">
      <calculatedColumnFormula>HLOOKUP(IPS_security_table6[[#This Row],[Product]],Inputs_table6[#All],12,FALSE)</calculatedColumnFormula>
    </tableColumn>
    <tableColumn id="12" name="IP Fragmentation  + MSRPC Fragmentation " dataDxfId="232" dataCellStyle="Percent">
      <calculatedColumnFormula>HLOOKUP(IPS_security_table6[[#This Row],[Product]],Inputs_table6[#All],13,FALSE)</calculatedColumnFormula>
    </tableColumn>
    <tableColumn id="13" name="IP Fragmentation  + SMB Evasions" dataDxfId="231" dataCellStyle="Percent">
      <calculatedColumnFormula>HLOOKUP(IPS_security_table6[[#This Row],[Product]],Inputs_table6[#All],14,FALSE)</calculatedColumnFormula>
    </tableColumn>
    <tableColumn id="14" name="TCP Segmentation + SMB / NETBIOS Evasions" dataDxfId="230" dataCellStyle="Percent">
      <calculatedColumnFormula>HLOOKUP(IPS_security_table6[[#This Row],[Product]],Inputs_table6[#All],15,FALSE)</calculatedColumnFormula>
    </tableColumn>
    <tableColumn id="15" name="TCP Split Handshake" dataDxfId="229" dataCellStyle="Percent">
      <calculatedColumnFormula>HLOOKUP(IPS_security_table6[[#This Row],[Product]],Inputs_table6[#All],16,FALSE)</calculatedColumnFormula>
    </tableColumn>
  </tableColumns>
  <tableStyleInfo name="TableStyleLight9" showFirstColumn="0" showLastColumn="0" showRowStripes="1" showColumnStripes="0"/>
</table>
</file>

<file path=xl/tables/table12.xml><?xml version="1.0" encoding="utf-8"?>
<table xmlns="http://schemas.openxmlformats.org/spreadsheetml/2006/main" id="51" name="IPS_security_table7" displayName="IPS_security_table7" ref="B59:P65" totalsRowShown="0" headerRowDxfId="763" dataDxfId="762" tableBorderDxfId="761">
  <autoFilter ref="B59:P65"/>
  <tableColumns count="15">
    <tableColumn id="1" name="Product" dataDxfId="760"/>
    <tableColumn id="2" name="Target Initiated Results" dataDxfId="759" dataCellStyle="Percent">
      <calculatedColumnFormula>SUM(IPS_security_table7[[#This Row],[IP Packet Fragmentation]:[TCP Segmentation + SMB / NETBIOS Evasions]])</calculatedColumnFormula>
    </tableColumn>
    <tableColumn id="3" name="IP Packet Fragmentation" dataDxfId="222" dataCellStyle="Percent">
      <calculatedColumnFormula>HLOOKUP(IPS_security_table7[[#This Row],[Product]],Inputs_table6[#All],3,FALSE)</calculatedColumnFormula>
    </tableColumn>
    <tableColumn id="4" name="TCP Stream Segmentation" dataDxfId="221" dataCellStyle="Percent">
      <calculatedColumnFormula>HLOOKUP(IPS_security_table7[[#This Row],[Product]],Inputs_table6[#All],4,FALSE)</calculatedColumnFormula>
    </tableColumn>
    <tableColumn id="5" name="RPC Fragmentation" dataDxfId="758" dataCellStyle="Percent"/>
    <tableColumn id="6" name="SMB &amp; NetBIOS Evasions" dataDxfId="757" dataCellStyle="Percent"/>
    <tableColumn id="7" name="URL Obfuscation" dataDxfId="756" dataCellStyle="Percent"/>
    <tableColumn id="8" name="HTML Obfuscation" dataDxfId="220" dataCellStyle="Percent">
      <calculatedColumnFormula>HLOOKUP(IPS_security_table7[[#This Row],[Product]],Inputs_table6[#All],8,FALSE)</calculatedColumnFormula>
    </tableColumn>
    <tableColumn id="9" name="Payload Encoding" dataDxfId="219" dataCellStyle="Percent">
      <calculatedColumnFormula>HLOOKUP(IPS_security_table7[[#This Row],[Product]],Inputs_table6[#All],9,FALSE)</calculatedColumnFormula>
    </tableColumn>
    <tableColumn id="10" name="FTP Evasion" dataDxfId="755" dataCellStyle="Percent"/>
    <tableColumn id="11" name="IP Fragmentation + TCP Segmentation" dataDxfId="218" dataCellStyle="Percent">
      <calculatedColumnFormula>HLOOKUP(IPS_security_table7[[#This Row],[Product]],Inputs_table6[#All],12,FALSE)</calculatedColumnFormula>
    </tableColumn>
    <tableColumn id="12" name="IP Fragmentation  + MSRPC Fragmentation " dataDxfId="754" dataCellStyle="Percent"/>
    <tableColumn id="13" name="IP Fragmentation  + SMB Evasions" dataDxfId="753" dataCellStyle="Percent"/>
    <tableColumn id="14" name="TCP Segmentation + SMB / NETBIOS Evasions" dataDxfId="752" dataCellStyle="Percent"/>
    <tableColumn id="15" name="TCP Split Handshake" dataDxfId="751" dataCellStyle="Percent"/>
  </tableColumns>
  <tableStyleInfo name="TableStyleLight9" showFirstColumn="0" showLastColumn="0" showRowStripes="1" showColumnStripes="0"/>
</table>
</file>

<file path=xl/tables/table13.xml><?xml version="1.0" encoding="utf-8"?>
<table xmlns="http://schemas.openxmlformats.org/spreadsheetml/2006/main" id="52" name="IPS_security_table3" displayName="IPS_security_table3" ref="B22:E28" totalsRowShown="0" headerRowDxfId="750" dataDxfId="749">
  <autoFilter ref="B22:E28"/>
  <tableColumns count="4">
    <tableColumn id="1" name="Product" dataDxfId="748"/>
    <tableColumn id="5" name="Exploits &amp; Evasions (Server-Side)" dataDxfId="747" dataCellStyle="Percent">
      <calculatedColumnFormula>(1-VLOOKUP(IPS_security_table3[[#This Row],[Product]],IPS_security_table6[#All],2,FALSE))*VLOOKUP(IPS_security_table3[[#This Row],[Product]],IPS_security_table2[#All],2,FALSE)</calculatedColumnFormula>
    </tableColumn>
    <tableColumn id="6" name="Exploits &amp; Evasions (Client-Side)" dataDxfId="746" dataCellStyle="Percent">
      <calculatedColumnFormula>(1-VLOOKUP(IPS_security_table3[[#This Row],[Product]],IPS_security_table7[#All],2,FALSE))*VLOOKUP(IPS_security_table3[[#This Row],[Product]],IPS_security_table2[#All],3,FALSE)</calculatedColumnFormula>
    </tableColumn>
    <tableColumn id="7" name="Exploits &amp; Evasions (Combined)" dataDxfId="745" dataCellStyle="Percent">
      <calculatedColumnFormula>(1-VLOOKUP(IPS_security_table3[[#This Row],[Product]],IPS_security_table5[#All],2,FALSE))*VLOOKUP(IPS_security_table3[[#This Row],[Product]],IPS_security_table2[#All],4,FALSE)</calculatedColumnFormula>
    </tableColumn>
  </tableColumns>
  <tableStyleInfo name="TableStyleLight9" showFirstColumn="0" showLastColumn="0" showRowStripes="1" showColumnStripes="0"/>
</table>
</file>

<file path=xl/tables/table14.xml><?xml version="1.0" encoding="utf-8"?>
<table xmlns="http://schemas.openxmlformats.org/spreadsheetml/2006/main" id="53" name="IPS_security_table4" displayName="IPS_security_table4" ref="B30:E36" totalsRowShown="0" headerRowDxfId="744" dataDxfId="743" tableBorderDxfId="742">
  <autoFilter ref="B30:E36"/>
  <tableColumns count="4">
    <tableColumn id="1" name="Product" dataDxfId="741"/>
    <tableColumn id="2" name="Delta Attacker Initiated" dataDxfId="740">
      <calculatedColumnFormula>VLOOKUP(IPS_security_table4[[#This Row],[Product]],IPS_security_table3[#All],2,FALSE)-VLOOKUP(IPS_security_table4[[#This Row],[Product]],IPS_security_table2[#All],2,FALSE)</calculatedColumnFormula>
    </tableColumn>
    <tableColumn id="3" name="Delta Target Initiated" dataDxfId="739">
      <calculatedColumnFormula>VLOOKUP(IPS_security_table4[[#This Row],[Product]],IPS_security_table3[#All],3,FALSE)-VLOOKUP(IPS_security_table4[[#This Row],[Product]],IPS_security_table2[#All],3,FALSE)</calculatedColumnFormula>
    </tableColumn>
    <tableColumn id="4" name="Delta Overall" dataDxfId="738">
      <calculatedColumnFormula>VLOOKUP(IPS_security_table4[[#This Row],[Product]],IPS_security_table3[#All],4,FALSE)-VLOOKUP(IPS_security_table4[[#This Row],[Product]],IPS_security_table2[#All],4,FALSE)</calculatedColumnFormula>
    </tableColumn>
  </tableColumns>
  <tableStyleInfo name="TableStyleLight9" showFirstColumn="0" showLastColumn="0" showRowStripes="1" showColumnStripes="0"/>
</table>
</file>

<file path=xl/tables/table15.xml><?xml version="1.0" encoding="utf-8"?>
<table xmlns="http://schemas.openxmlformats.org/spreadsheetml/2006/main" id="54" name="IPS_security_table1" displayName="IPS_security_table1" ref="B2:N8" totalsRowShown="0" headerRowDxfId="737" dataDxfId="736" tableBorderDxfId="735">
  <autoFilter ref="B2:N8"/>
  <tableColumns count="13">
    <tableColumn id="1" name="Product" dataDxfId="734"/>
    <tableColumn id="2" name="&lt;=2004" dataDxfId="733" dataCellStyle="Percent"/>
    <tableColumn id="3" name="2005" dataDxfId="732" dataCellStyle="Percent"/>
    <tableColumn id="4" name="2006" dataDxfId="731" dataCellStyle="Percent"/>
    <tableColumn id="5" name="2007" dataDxfId="730" dataCellStyle="Percent"/>
    <tableColumn id="6" name="2008" dataDxfId="729" dataCellStyle="Percent"/>
    <tableColumn id="7" name="2009" dataDxfId="728" dataCellStyle="Percent"/>
    <tableColumn id="8" name="2010" dataDxfId="727" dataCellStyle="Percent"/>
    <tableColumn id="9" name="2011" dataDxfId="726" dataCellStyle="Percent"/>
    <tableColumn id="10" name="2012" dataDxfId="725" dataCellStyle="Percent"/>
    <tableColumn id="12" name="2013" dataDxfId="724" dataCellStyle="Percent"/>
    <tableColumn id="11" name="2014" dataDxfId="723" dataCellStyle="Percent"/>
    <tableColumn id="13" name="Total" dataDxfId="722" dataCellStyle="Percent"/>
  </tableColumns>
  <tableStyleInfo name="TableStyleLight9" showFirstColumn="0" showLastColumn="0" showRowStripes="1" showColumnStripes="0"/>
</table>
</file>

<file path=xl/tables/table16.xml><?xml version="1.0" encoding="utf-8"?>
<table xmlns="http://schemas.openxmlformats.org/spreadsheetml/2006/main" id="11" name="IPS_security_table8" displayName="IPS_security_table8" ref="B305:F311" totalsRowShown="0" headerRowDxfId="721" dataDxfId="719" headerRowBorderDxfId="720" tableBorderDxfId="718" totalsRowBorderDxfId="717">
  <autoFilter ref="B305:F311"/>
  <tableColumns count="5">
    <tableColumn id="1" name="Product" dataDxfId="716"/>
    <tableColumn id="2" name="Exploit Block Rate" dataDxfId="715" dataCellStyle="Percent">
      <calculatedColumnFormula>VLOOKUP(IPS_security_table8[[#This Row],[Product]],TCO_Calc_table4[#All],4,FALSE)</calculatedColumnFormula>
    </tableColumn>
    <tableColumn id="3" name="Anti-Evasion Rating" dataDxfId="714" dataCellStyle="Percent">
      <calculatedColumnFormula>1-VLOOKUP(IPS_security_table8[[#This Row],[Product]],IPS_security_table5[#All],2,FALSE)</calculatedColumnFormula>
    </tableColumn>
    <tableColumn id="4" name="Stability and Reliability" dataDxfId="216" dataCellStyle="Percent">
      <calculatedColumnFormula>HLOOKUP(IPS_security_table8[[#This Row],[Product]],Inputs_table6[#All],17,FALSE)</calculatedColumnFormula>
    </tableColumn>
    <tableColumn id="5" name="Security Effectiveness" dataDxfId="713" dataCellStyle="Percent">
      <calculatedColumnFormula>SUM(IPS_security_table8[[#This Row],[Exploit Block Rate]]*IPS_security_table8[[#This Row],[Anti-Evasion Rating]]*IPS_security_table8[[#This Row],[Stability and Reliability]])</calculatedColumnFormula>
    </tableColumn>
  </tableColumns>
  <tableStyleInfo name="TableStyleLight9" showFirstColumn="0" showLastColumn="0" showRowStripes="1" showColumnStripes="0"/>
</table>
</file>

<file path=xl/tables/table17.xml><?xml version="1.0" encoding="utf-8"?>
<table xmlns="http://schemas.openxmlformats.org/spreadsheetml/2006/main" id="55" name="IPS_Security_table10" displayName="IPS_Security_table10" ref="B274:I280" totalsRowShown="0" headerRowDxfId="712" dataDxfId="710" headerRowBorderDxfId="711" tableBorderDxfId="709" totalsRowBorderDxfId="708">
  <autoFilter ref="B274:I280"/>
  <tableColumns count="8">
    <tableColumn id="1" name="Product" dataDxfId="707"/>
    <tableColumn id="3" name="IP Packet Fragmentation" dataDxfId="706">
      <calculatedColumnFormula>IF(HLOOKUP(IPS_Security_table10[Product],Comb_scrd[#All],28,FALSE)&lt;&gt;1,"FAIL","PASS")</calculatedColumnFormula>
    </tableColumn>
    <tableColumn id="4" name="TCP Stream Segmentation" dataDxfId="705">
      <calculatedColumnFormula>IF(HLOOKUP(IPS_Security_table10[Product],Comb_scrd[#All],44,FALSE)&lt;&gt;1,"FAIL","PASS")</calculatedColumnFormula>
    </tableColumn>
    <tableColumn id="5" name="RPC Fragmentation" dataDxfId="704">
      <calculatedColumnFormula>IF(HLOOKUP(IPS_Security_table10[Product],Comb_scrd[#All],69,FALSE)&lt;&gt;1,"FAIL","PASS")</calculatedColumnFormula>
    </tableColumn>
    <tableColumn id="6" name="SMB &amp; NetBIOS Evasions" dataDxfId="703">
      <calculatedColumnFormula>IF(HLOOKUP(IPS_Security_table10[Product],Comb_scrd[#All],93,FALSE)&lt;&gt;1,"FAIL","PASS")</calculatedColumnFormula>
    </tableColumn>
    <tableColumn id="7" name="URL Obfuscation" dataDxfId="702">
      <calculatedColumnFormula>IF(HLOOKUP(IPS_Security_table10[Product],Comb_scrd[#All],97,FALSE)&lt;&gt;1,"FAIL","PASS")</calculatedColumnFormula>
    </tableColumn>
    <tableColumn id="8" name="HTML Obfuscation" dataDxfId="701">
      <calculatedColumnFormula>IF(HLOOKUP(IPS_Security_table10[Product],Comb_scrd[#All],114,FALSE)&lt;&gt;1,"FAIL","PASS")</calculatedColumnFormula>
    </tableColumn>
    <tableColumn id="17" name="Payload Encoding" dataDxfId="700">
      <calculatedColumnFormula>IF(HLOOKUP(IPS_Security_table10[Product],Comb_scrd[#All],130,FALSE)&lt;&gt;1,"FAIL","PASS")</calculatedColumnFormula>
    </tableColumn>
  </tableColumns>
  <tableStyleInfo name="TableStyleLight9" showFirstColumn="0" showLastColumn="0" showRowStripes="1" showColumnStripes="0"/>
</table>
</file>

<file path=xl/tables/table18.xml><?xml version="1.0" encoding="utf-8"?>
<table xmlns="http://schemas.openxmlformats.org/spreadsheetml/2006/main" id="57" name="IPS_security_table11" displayName="IPS_security_table11" ref="B283:I289" totalsRowShown="0" headerRowDxfId="699" dataDxfId="697" headerRowBorderDxfId="698" tableBorderDxfId="696" totalsRowBorderDxfId="695">
  <autoFilter ref="B283:I289"/>
  <tableColumns count="8">
    <tableColumn id="1" name="Product" dataDxfId="694"/>
    <tableColumn id="3" name="FTP Evasion" dataDxfId="693">
      <calculatedColumnFormula>IF(HLOOKUP(IPS_security_table11[Product],Comb_scrd[#All],135,FALSE)&lt;&gt;1,"FAIL","PASS")</calculatedColumnFormula>
    </tableColumn>
    <tableColumn id="4" name="IP Fragmentation + TCP Segmentation" dataDxfId="692">
      <calculatedColumnFormula>IF(HLOOKUP(IPS_security_table11[Product],Comb_scrd[#All],146,FALSE)&lt;&gt;1,"FAIL","PASS")</calculatedColumnFormula>
    </tableColumn>
    <tableColumn id="5" name="IP Fragmentation  + MSRPC Fragmentation " dataDxfId="691">
      <calculatedColumnFormula>IF(HLOOKUP(IPS_security_table11[Product],Comb_scrd[#All],161,FALSE)&lt;&gt;1,"FAIL","PASS")</calculatedColumnFormula>
    </tableColumn>
    <tableColumn id="6" name="IP Fragmentation  + SMB Evasions" dataDxfId="690">
      <calculatedColumnFormula>IF(HLOOKUP(IPS_security_table11[Product],Comb_scrd[#All],170,FALSE)&lt;&gt;1,"FAIL","PASS")</calculatedColumnFormula>
    </tableColumn>
    <tableColumn id="7" name="TCP Segmentation + SMB / NETBIOS Evasions" dataDxfId="689">
      <calculatedColumnFormula>IF(HLOOKUP(IPS_security_table11[Product],Comb_scrd[#All],174,FALSE)&lt;&gt;1,"FAIL","PASS")</calculatedColumnFormula>
    </tableColumn>
    <tableColumn id="8" name="TCP Split Handshake" dataDxfId="688">
      <calculatedColumnFormula>IF(HLOOKUP(IPS_security_table11[Product],Comb_scrd[#All],176,FALSE)&lt;&gt;1,"FAIL","PASS")</calculatedColumnFormula>
    </tableColumn>
    <tableColumn id="2" name="Evasion Results" dataDxfId="217" dataCellStyle="Percent">
      <calculatedColumnFormula>HLOOKUP(IPS_security_table11[Product],Inputs_table6[#All],2,FALSE)</calculatedColumnFormula>
    </tableColumn>
  </tableColumns>
  <tableStyleInfo name="TableStyleLight9" showFirstColumn="0" showLastColumn="0" showRowStripes="1" showColumnStripes="0"/>
</table>
</file>

<file path=xl/tables/table19.xml><?xml version="1.0" encoding="utf-8"?>
<table xmlns="http://schemas.openxmlformats.org/spreadsheetml/2006/main" id="3" name="IPS_Security_table94" displayName="IPS_Security_table94" ref="B149:E155" totalsRowShown="0" headerRowDxfId="687" dataDxfId="685" headerRowBorderDxfId="686">
  <autoFilter ref="B149:E155"/>
  <tableColumns count="4">
    <tableColumn id="1" name="Product" dataDxfId="684"/>
    <tableColumn id="2" name="System Exposure" dataDxfId="683" dataCellStyle="Percent">
      <calculatedColumnFormula>HLOOKUP(IPS_Security_table94[[#This Row],[Product]],Comb_scrd[#All],11,FALSE)</calculatedColumnFormula>
    </tableColumn>
    <tableColumn id="3" name="Service Exposure" dataDxfId="682" dataCellStyle="Percent">
      <calculatedColumnFormula>HLOOKUP(IPS_Security_table94[[#This Row],[Product]],Comb_scrd[#All],12,FALSE)</calculatedColumnFormula>
    </tableColumn>
    <tableColumn id="4" name="System or Service Fault" dataDxfId="681" dataCellStyle="Percent">
      <calculatedColumnFormula>HLOOKUP(IPS_Security_table94[[#This Row],[Product]],Comb_scrd[#All],13,FALSE)</calculatedColumnFormula>
    </tableColumn>
  </tableColumns>
  <tableStyleInfo name="TableStyleLight9" showFirstColumn="0" showLastColumn="0" showRowStripes="1" showColumnStripes="0"/>
</table>
</file>

<file path=xl/tables/table2.xml><?xml version="1.0" encoding="utf-8"?>
<table xmlns="http://schemas.openxmlformats.org/spreadsheetml/2006/main" id="18" name="Inputs_table3" displayName="Inputs_table3" ref="B13:H16" totalsRowShown="0" headerRowDxfId="850" dataDxfId="849">
  <autoFilter ref="B13:H16"/>
  <tableColumns count="7">
    <tableColumn id="1" name="-" dataDxfId="848"/>
    <tableColumn id="2" name="Cisco FirePOWER 8350" dataDxfId="847" dataCellStyle="Input">
      <calculatedColumnFormula>HLOOKUP(Inputs_table3[[#Headers],[Cisco FirePOWER 8350]],Comb_scrd[#All],295,FALSE)</calculatedColumnFormula>
    </tableColumn>
    <tableColumn id="3" name="Fortinet FortiGate-1500D" dataDxfId="846" dataCellStyle="Input"/>
    <tableColumn id="4" name="HP TippingPoint S7500NX" dataDxfId="845" dataCellStyle="Input"/>
    <tableColumn id="9" name="IBM Security Network Protection XGS 5100" dataDxfId="844" dataCellStyle="Input"/>
    <tableColumn id="5" name="IBM Security Network Protection XGS 7100" dataDxfId="843" dataCellStyle="Input"/>
    <tableColumn id="6" name="Palo Alto Networks PA-5020" dataDxfId="842" dataCellStyle="Input"/>
  </tableColumns>
  <tableStyleInfo name="TableStyleLight9" showFirstColumn="0" showLastColumn="0" showRowStripes="1" showColumnStripes="0"/>
</table>
</file>

<file path=xl/tables/table20.xml><?xml version="1.0" encoding="utf-8"?>
<table xmlns="http://schemas.openxmlformats.org/spreadsheetml/2006/main" id="56" name="Table56" displayName="Table56" ref="B158:G164" totalsRowShown="0" headerRowDxfId="680" dataDxfId="678" headerRowBorderDxfId="679" tableBorderDxfId="677" totalsRowBorderDxfId="676" dataCellStyle="Percent">
  <autoFilter ref="B158:G164"/>
  <tableColumns count="6">
    <tableColumn id="1" name="Description" dataDxfId="675"/>
    <tableColumn id="2" name="Adobe" dataDxfId="674" dataCellStyle="Percent"/>
    <tableColumn id="3" name="Apple " dataDxfId="673" dataCellStyle="Percent"/>
    <tableColumn id="4" name="IBM" dataDxfId="672" dataCellStyle="Percent"/>
    <tableColumn id="5" name="Microsoft" dataDxfId="671" dataCellStyle="Percent"/>
    <tableColumn id="6" name="Oracle" dataDxfId="670" dataCellStyle="Percent"/>
  </tableColumns>
  <tableStyleInfo name="TableStyleLight9" showFirstColumn="0" showLastColumn="0" showRowStripes="1" showColumnStripes="0"/>
</table>
</file>

<file path=xl/tables/table21.xml><?xml version="1.0" encoding="utf-8"?>
<table xmlns="http://schemas.openxmlformats.org/spreadsheetml/2006/main" id="78" name="Table59" displayName="Table59" ref="B293:N299" totalsRowShown="0" headerRowDxfId="669" dataDxfId="667" headerRowBorderDxfId="668" tableBorderDxfId="666" totalsRowBorderDxfId="665">
  <tableColumns count="13">
    <tableColumn id="1" name="Product" dataDxfId="664"/>
    <tableColumn id="2" name="Blocking Under Extended Attack" dataDxfId="663">
      <calculatedColumnFormula>HLOOKUP(Table59[Product],Comb_scrd[#All],220,FALSE)</calculatedColumnFormula>
    </tableColumn>
    <tableColumn id="3" name="Passing Legitimate Traffic Under Extended Attack" dataDxfId="662">
      <calculatedColumnFormula>HLOOKUP(Table59[Product],Comb_scrd[#All],221,FALSE)</calculatedColumnFormula>
    </tableColumn>
    <tableColumn id="5" name="Attack Detection/Blocking - Normal Load" dataDxfId="661">
      <calculatedColumnFormula>HLOOKUP(Table59[Product],Comb_scrd[#All],223,FALSE)</calculatedColumnFormula>
    </tableColumn>
    <tableColumn id="6" name="State Preservation - Normal Load" dataDxfId="660">
      <calculatedColumnFormula>HLOOKUP(Table59[Product],Comb_scrd[#All],224,FALSE)</calculatedColumnFormula>
    </tableColumn>
    <tableColumn id="7" name="Pass Legitimate Traffic - Normal Load" dataDxfId="659">
      <calculatedColumnFormula>HLOOKUP(Table59[Product],Comb_scrd[#All],225,FALSE)</calculatedColumnFormula>
    </tableColumn>
    <tableColumn id="8" name="State Preservation - Maximum Exceeded" dataDxfId="658">
      <calculatedColumnFormula>HLOOKUP(Table59[Product],Comb_scrd[#All],226,FALSE)</calculatedColumnFormula>
    </tableColumn>
    <tableColumn id="9" name="Drop Traffic - Maximum Exceeded" dataDxfId="657">
      <calculatedColumnFormula>HLOOKUP(Table59[Product],Comb_scrd[#All],227,FALSE)</calculatedColumnFormula>
    </tableColumn>
    <tableColumn id="10" name="Protocol Fuzzing &amp; Mutation" dataDxfId="656">
      <calculatedColumnFormula>HLOOKUP(Table59[Product],Comb_scrd[#All],228,FALSE)</calculatedColumnFormula>
    </tableColumn>
    <tableColumn id="11" name="Power Fail" dataDxfId="655">
      <calculatedColumnFormula>HLOOKUP(Table59[Product],Comb_scrd[#All],229,FALSE)</calculatedColumnFormula>
    </tableColumn>
    <tableColumn id="12" name="Redundancy*" dataDxfId="654">
      <calculatedColumnFormula>HLOOKUP(Table59[Product],Comb_scrd[#All],230,FALSE)</calculatedColumnFormula>
    </tableColumn>
    <tableColumn id="13" name="Persistence of Data" dataDxfId="653">
      <calculatedColumnFormula>HLOOKUP(Table59[Product],Comb_scrd[#All],231,FALSE)</calculatedColumnFormula>
    </tableColumn>
    <tableColumn id="14" name="Stability and Reliability" dataDxfId="652">
      <calculatedColumnFormula>IF(SUMPRODUCT(--ISNUMBER(FIND("FAIL",Table59[[#This Row],[Blocking Under Extended Attack]:[Persistence of Data]])))=0,"PASS","FAIL")</calculatedColumnFormula>
    </tableColumn>
  </tableColumns>
  <tableStyleInfo name="TableStyleLight9" showFirstColumn="0" showLastColumn="0" showRowStripes="1" showColumnStripes="0"/>
</table>
</file>

<file path=xl/tables/table22.xml><?xml version="1.0" encoding="utf-8"?>
<table xmlns="http://schemas.openxmlformats.org/spreadsheetml/2006/main" id="36" name="IPS_Security_table9" displayName="IPS_Security_table9" ref="B315:D321" totalsRowShown="0" headerRowDxfId="651" dataDxfId="649" headerRowBorderDxfId="650">
  <autoFilter ref="B315:D321"/>
  <tableColumns count="3">
    <tableColumn id="1" name="Product" dataDxfId="648"/>
    <tableColumn id="4" name="NSS Rated Throughput" dataDxfId="647" dataCellStyle="Comma">
      <calculatedColumnFormula>VLOOKUP(IPS_Security_table9[[#This Row],[Product]],Perf_table1[#All],2,FALSE)</calculatedColumnFormula>
    </tableColumn>
    <tableColumn id="2" name="Security Effectiveness" dataDxfId="646" dataCellStyle="Percent">
      <calculatedColumnFormula>VLOOKUP(IPS_Security_table9[[#This Row],[Product]],IPS_security_table8[#All],5,FALSE)</calculatedColumnFormula>
    </tableColumn>
  </tableColumns>
  <tableStyleInfo name="TableStyleLight9" showFirstColumn="0" showLastColumn="0" showRowStripes="1" showColumnStripes="0"/>
</table>
</file>

<file path=xl/tables/table23.xml><?xml version="1.0" encoding="utf-8"?>
<table xmlns="http://schemas.openxmlformats.org/spreadsheetml/2006/main" id="8" name="Table8" displayName="Table8" ref="B167:C173" totalsRowShown="0" headerRowDxfId="645" dataDxfId="643" headerRowBorderDxfId="644" tableBorderDxfId="642">
  <autoFilter ref="B167:C173"/>
  <tableColumns count="2">
    <tableColumn id="1" name="Product" dataDxfId="641"/>
    <tableColumn id="2" name="Live Exploit Coverage" dataDxfId="640" dataCellStyle="Percent">
      <calculatedColumnFormula>HLOOKUP(Table8[[#This Row],[Product]],Comb_scrd[#All],19,FALSE)</calculatedColumnFormula>
    </tableColumn>
  </tableColumns>
  <tableStyleInfo name="TableStyleLight9" showFirstColumn="0" showLastColumn="0" showRowStripes="1" showColumnStripes="0"/>
</table>
</file>

<file path=xl/tables/table24.xml><?xml version="1.0" encoding="utf-8"?>
<table xmlns="http://schemas.openxmlformats.org/spreadsheetml/2006/main" id="12" name="TCO_calc_table5" displayName="TCO_calc_table5" ref="B39:G45" totalsRowShown="0" headerRowDxfId="639" dataDxfId="637" headerRowBorderDxfId="638" tableBorderDxfId="636" totalsRowBorderDxfId="635">
  <autoFilter ref="B39:G45"/>
  <tableColumns count="6">
    <tableColumn id="1" name="Product" dataDxfId="634"/>
    <tableColumn id="2" name="Vendor-Claimed Throughput (Mbps)" dataDxfId="633" dataCellStyle="Comma">
      <calculatedColumnFormula>VLOOKUP(TCO_calc_table5[[#This Row],[Product]],TCO_calc_table2[#All],2,FALSE)</calculatedColumnFormula>
    </tableColumn>
    <tableColumn id="3" name="Purchase Price" dataDxfId="632" dataCellStyle="Currency">
      <calculatedColumnFormula>VLOOKUP(TCO_calc_table5[[#This Row],[Product]],TCO_calc_table1[#All],2,FALSE)</calculatedColumnFormula>
    </tableColumn>
    <tableColumn id="7" name="Exploit Block Rate" dataDxfId="631" dataCellStyle="Percent">
      <calculatedColumnFormula>VLOOKUP(TCO_calc_table5[[#This Row],[Product]],TCO_Calc_table4[#All],4,FALSE)</calculatedColumnFormula>
    </tableColumn>
    <tableColumn id="4" name="3-Year TCO" dataDxfId="630" dataCellStyle="Currency">
      <calculatedColumnFormula>VLOOKUP(TCO_calc_table5[Product],TCO_calc_table1[#All],8,FALSE)</calculatedColumnFormula>
    </tableColumn>
    <tableColumn id="5" name="TCO per Protected-Mbps" dataDxfId="629" dataCellStyle="Currency">
      <calculatedColumnFormula>TCO_calc_table5[[#This Row],[3-Year TCO]]/(TCO_calc_table5[[#This Row],[Vendor-Claimed Throughput (Mbps)]]*TCO_calc_table5[[#This Row],[Exploit Block Rate]]*Inputs_table1[NGIPS])</calculatedColumnFormula>
    </tableColumn>
  </tableColumns>
  <tableStyleInfo name="TableStyleLight9" showFirstColumn="0" showLastColumn="0" showRowStripes="1" showColumnStripes="0"/>
</table>
</file>

<file path=xl/tables/table25.xml><?xml version="1.0" encoding="utf-8"?>
<table xmlns="http://schemas.openxmlformats.org/spreadsheetml/2006/main" id="13" name="TCO_calc_table2" displayName="TCO_calc_table2" ref="B12:E18" totalsRowShown="0" headerRowDxfId="628" dataDxfId="627" tableBorderDxfId="626">
  <tableColumns count="4">
    <tableColumn id="1" name="Product" dataDxfId="625"/>
    <tableColumn id="2" name="Vendor-Claimed Throughput (Mbps)" dataDxfId="624" dataCellStyle="Comma">
      <calculatedColumnFormula>HLOOKUP(TCO_calc_table2[[#This Row],[Product]],Comb_scrd[#All],178,FALSE)</calculatedColumnFormula>
    </tableColumn>
    <tableColumn id="3" name="Purchase Price" dataDxfId="623">
      <calculatedColumnFormula>VLOOKUP(TCO_calc_table2[[#This Row],[Product]],TCO_calc_table1[#All],2,FALSE)</calculatedColumnFormula>
    </tableColumn>
    <tableColumn id="4" name="Purchase Price per Mbps" dataDxfId="622" dataCellStyle="Currency">
      <calculatedColumnFormula>TCO_calc_table2[[#This Row],[Purchase Price]]/(TCO_calc_table2[[#This Row],[Vendor-Claimed Throughput (Mbps)]]*Inputs_table1[NGIPS])</calculatedColumnFormula>
    </tableColumn>
  </tableColumns>
  <tableStyleInfo name="TableStyleLight9" showFirstColumn="0" showLastColumn="0" showRowStripes="1" showColumnStripes="0"/>
</table>
</file>

<file path=xl/tables/table26.xml><?xml version="1.0" encoding="utf-8"?>
<table xmlns="http://schemas.openxmlformats.org/spreadsheetml/2006/main" id="14" name="TCO_calc_table3" displayName="TCO_calc_table3" ref="B21:F27" totalsRowShown="0" headerRowDxfId="621" dataDxfId="620" tableBorderDxfId="619">
  <tableColumns count="5">
    <tableColumn id="1" name="Product" dataDxfId="618"/>
    <tableColumn id="2" name="Vendor-Claimed Throughput (Mbps)" dataDxfId="617">
      <calculatedColumnFormula>VLOOKUP(TCO_calc_table3[[#This Row],[Product]],TCO_calc_table2[#All],2,FALSE)</calculatedColumnFormula>
    </tableColumn>
    <tableColumn id="3" name="Purchase Price" dataDxfId="616">
      <calculatedColumnFormula>VLOOKUP(TCO_calc_table3[[#This Row],[Product]],TCO_calc_table1[#All],2,FALSE)</calculatedColumnFormula>
    </tableColumn>
    <tableColumn id="4" name="3-Year TCO" dataDxfId="615">
      <calculatedColumnFormula>VLOOKUP(TCO_calc_table3[Product],TCO_calc_table1[#All],8,FALSE)</calculatedColumnFormula>
    </tableColumn>
    <tableColumn id="5" name="TCO per Mbps" dataDxfId="614" dataCellStyle="Currency">
      <calculatedColumnFormula>TCO_calc_table3[[#This Row],[3-Year TCO]]/(TCO_calc_table3[[#This Row],[Vendor-Claimed Throughput (Mbps)]]*Inputs_table1[NGIPS])</calculatedColumnFormula>
    </tableColumn>
  </tableColumns>
  <tableStyleInfo name="TableStyleLight9" showFirstColumn="0" showLastColumn="0" showRowStripes="1" showColumnStripes="0"/>
</table>
</file>

<file path=xl/tables/table27.xml><?xml version="1.0" encoding="utf-8"?>
<table xmlns="http://schemas.openxmlformats.org/spreadsheetml/2006/main" id="15" name="TCO_calc_table8" displayName="TCO_calc_table8" ref="B66:H72" totalsRowShown="0" headerRowDxfId="613" dataDxfId="612" tableBorderDxfId="611">
  <autoFilter ref="B66:H72"/>
  <tableColumns count="7">
    <tableColumn id="1" name="Product" dataDxfId="610"/>
    <tableColumn id="6" name="Vendor-Claimed Throughput (Mbps)" dataDxfId="609">
      <calculatedColumnFormula>VLOOKUP(TCO_calc_table8[[#This Row],[Product]],TCO_calc_table2[#All],2,FALSE)</calculatedColumnFormula>
    </tableColumn>
    <tableColumn id="2" name="NSS-Tested Throughput (Mbps)" dataDxfId="608" dataCellStyle="Comma">
      <calculatedColumnFormula>VLOOKUP(TCO_calc_table8[[#This Row],[Product]],Perf_table1[#All],2,FALSE)</calculatedColumnFormula>
    </tableColumn>
    <tableColumn id="3" name="Purchase Price" dataDxfId="607" dataCellStyle="Currency">
      <calculatedColumnFormula>VLOOKUP(TCO_calc_table8[[#This Row],[Product]],TCO_calc_table1[#All],2,FALSE)</calculatedColumnFormula>
    </tableColumn>
    <tableColumn id="7" name="Exploit Block Rate" dataDxfId="606" dataCellStyle="Percent">
      <calculatedColumnFormula>VLOOKUP(TCO_calc_table8[[#This Row],[Product]],TCO_Calc_table4[#All],4,FALSE)</calculatedColumnFormula>
    </tableColumn>
    <tableColumn id="4" name="3-Year TCO" dataDxfId="605">
      <calculatedColumnFormula>VLOOKUP(TCO_calc_table8[Product],TCO_calc_table1[#All],8,FALSE)</calculatedColumnFormula>
    </tableColumn>
    <tableColumn id="5" name="TCO per Protected-Mbps" dataDxfId="604" dataCellStyle="Currency">
      <calculatedColumnFormula>TCO_calc_table8[[#This Row],[3-Year TCO]]/(TCO_calc_table8[[#This Row],[NSS-Tested Throughput (Mbps)]]*TCO_calc_table8[[#This Row],[Exploit Block Rate]]*Inputs_table1[NGIPS])</calculatedColumnFormula>
    </tableColumn>
  </tableColumns>
  <tableStyleInfo name="TableStyleLight9" showFirstColumn="0" showLastColumn="0" showRowStripes="1" showColumnStripes="0"/>
</table>
</file>

<file path=xl/tables/table28.xml><?xml version="1.0" encoding="utf-8"?>
<table xmlns="http://schemas.openxmlformats.org/spreadsheetml/2006/main" id="23" name="TCO_calc_Table11" displayName="TCO_calc_Table11" ref="B97:F103" totalsRowShown="0" headerRowDxfId="603" dataDxfId="601" headerRowBorderDxfId="602" tableBorderDxfId="600">
  <autoFilter ref="B97:F103"/>
  <tableColumns count="5">
    <tableColumn id="1" name="Product" dataDxfId="599"/>
    <tableColumn id="2" name="Purchase Price per Mbps" dataDxfId="598" dataCellStyle="Currency">
      <calculatedColumnFormula>VLOOKUP(TCO_calc_Table11[[#This Row],[Product]],TCO_calc_table2[#All],4,FALSE)</calculatedColumnFormula>
    </tableColumn>
    <tableColumn id="3" name="Price per Protected-Mbps" dataDxfId="597" dataCellStyle="Currency">
      <calculatedColumnFormula>VLOOKUP(TCO_calc_Table11[[#This Row],[Product]],TCO_Calc_table4[#All],5,FALSE)</calculatedColumnFormula>
    </tableColumn>
    <tableColumn id="4" name="Price per Protected-Mbps  " dataDxfId="596" dataCellStyle="Currency">
      <calculatedColumnFormula>VLOOKUP(TCO_calc_Table11[[#This Row],[Product]],TCO_calc_table7[#All],6,FALSE)</calculatedColumnFormula>
    </tableColumn>
    <tableColumn id="5" name="Price per Protected-Mbps " dataDxfId="595" dataCellStyle="Currency">
      <calculatedColumnFormula>VLOOKUP(TCO_calc_Table11[[#This Row],[Product]],TCO_calc_table9[#All],6,FALSE)</calculatedColumnFormula>
    </tableColumn>
  </tableColumns>
  <tableStyleInfo name="TableStyleLight9" showFirstColumn="0" showLastColumn="0" showRowStripes="1" showColumnStripes="0"/>
</table>
</file>

<file path=xl/tables/table29.xml><?xml version="1.0" encoding="utf-8"?>
<table xmlns="http://schemas.openxmlformats.org/spreadsheetml/2006/main" id="24" name="TCO_calc_table6" displayName="TCO_calc_table6" ref="B48:E54" totalsRowShown="0" headerRowDxfId="594" dataDxfId="593">
  <autoFilter ref="B48:E54"/>
  <tableColumns count="4">
    <tableColumn id="1" name="Product" dataDxfId="592"/>
    <tableColumn id="2" name="Vendor-Claimed Throughput (Mbps)" dataDxfId="591" dataCellStyle="Comma">
      <calculatedColumnFormula>VLOOKUP(TCO_calc_table6[[#This Row],[Product]],TCO_calc_table2[#All],2,FALSE)</calculatedColumnFormula>
    </tableColumn>
    <tableColumn id="3" name="NSS-Tested Throughput (Mbps)" dataDxfId="590">
      <calculatedColumnFormula>VLOOKUP(TCO_calc_table6[[#This Row],[Product]],Perf_table1[#All],2,FALSE)</calculatedColumnFormula>
    </tableColumn>
    <tableColumn id="4" name="% Delta" dataDxfId="589" dataCellStyle="Percent">
      <calculatedColumnFormula>(TCO_calc_table6[[#This Row],[NSS-Tested Throughput (Mbps)]]-TCO_calc_table6[[#This Row],[Vendor-Claimed Throughput (Mbps)]])/TCO_calc_table6[[#This Row],[Vendor-Claimed Throughput (Mbps)]]</calculatedColumnFormula>
    </tableColumn>
  </tableColumns>
  <tableStyleInfo name="TableStyleLight9" showFirstColumn="0" showLastColumn="0" showRowStripes="1" showColumnStripes="0"/>
</table>
</file>

<file path=xl/tables/table3.xml><?xml version="1.0" encoding="utf-8"?>
<table xmlns="http://schemas.openxmlformats.org/spreadsheetml/2006/main" id="19" name="Inputs_table2" displayName="Inputs_table2" ref="B7:H8" totalsRowShown="0" headerRowDxfId="841" dataDxfId="840" tableBorderDxfId="839">
  <autoFilter ref="B7:H8"/>
  <tableColumns count="7">
    <tableColumn id="1" name="-" dataDxfId="838"/>
    <tableColumn id="2" name="Cisco FirePOWER 8350" dataDxfId="837">
      <calculatedColumnFormula>$C$6</calculatedColumnFormula>
    </tableColumn>
    <tableColumn id="3" name="Fortinet FortiGate-1500D" dataDxfId="836">
      <calculatedColumnFormula>$C$6</calculatedColumnFormula>
    </tableColumn>
    <tableColumn id="4" name="HP TippingPoint S7500NX" dataDxfId="835">
      <calculatedColumnFormula>$C$6</calculatedColumnFormula>
    </tableColumn>
    <tableColumn id="9" name="IBM Security Network Protection XGS 5100" dataDxfId="834" dataCellStyle="Input">
      <calculatedColumnFormula>$C$6</calculatedColumnFormula>
    </tableColumn>
    <tableColumn id="5" name="IBM Security Network Protection XGS 7100" dataDxfId="833">
      <calculatedColumnFormula>$C$6</calculatedColumnFormula>
    </tableColumn>
    <tableColumn id="6" name="Palo Alto Networks PA-5020" dataDxfId="832">
      <calculatedColumnFormula>$C$6</calculatedColumnFormula>
    </tableColumn>
  </tableColumns>
  <tableStyleInfo name="TableStyleLight9" showFirstColumn="0" showLastColumn="0" showRowStripes="1" showColumnStripes="0"/>
</table>
</file>

<file path=xl/tables/table30.xml><?xml version="1.0" encoding="utf-8"?>
<table xmlns="http://schemas.openxmlformats.org/spreadsheetml/2006/main" id="25" name="TCO_calc_tabl13" displayName="TCO_calc_tabl13" ref="B117:H124" totalsRowCount="1" headerRowDxfId="588" dataDxfId="587" totalsRowDxfId="586">
  <autoFilter ref="B117:H123"/>
  <tableColumns count="7">
    <tableColumn id="1" name="Product" totalsRowLabel="Industry Median" dataDxfId="585" totalsRowDxfId="584"/>
    <tableColumn id="2" name="Purchase Price per Mbps" totalsRowFunction="custom" dataDxfId="583" totalsRowDxfId="582">
      <calculatedColumnFormula>VLOOKUP(TCO_calc_tabl13[[#This Row],[Product]],TCO_calc_table2[#All],4,FALSE)</calculatedColumnFormula>
      <totalsRowFormula>MEDIAN(TCO_calc_tabl13[Purchase Price per Mbps])</totalsRowFormula>
    </tableColumn>
    <tableColumn id="3" name="Purchase Price per Protected-Mbps" totalsRowFunction="custom" dataDxfId="581" totalsRowDxfId="580">
      <calculatedColumnFormula>VLOOKUP(TCO_calc_tabl13[[#This Row],[Product]],TCO_calc_table9[#All],6,FALSE)</calculatedColumnFormula>
      <totalsRowFormula>MEDIAN(TCO_calc_tabl13[Purchase Price per Protected-Mbps])</totalsRowFormula>
    </tableColumn>
    <tableColumn id="4" name="Purchase Price" totalsRowFunction="custom" dataDxfId="579" totalsRowDxfId="578">
      <calculatedColumnFormula>VLOOKUP(TCO_calc_tabl13[[#This Row],[Product]],TCO_calc_table1[#All],2,FALSE)</calculatedColumnFormula>
      <totalsRowFormula>MEDIAN(E118:E123)</totalsRowFormula>
    </tableColumn>
    <tableColumn id="5" name="Security Effectiveness Value" totalsRowFunction="custom" dataDxfId="577" totalsRowDxfId="576">
      <calculatedColumnFormula>TCO_calc_tabl13[[#This Row],[Purchase Price]]*TCO_calc_tabl13[[#Totals],[Purchase Price per Protected-Mbps]]/TCO_calc_tabl13[[#This Row],[Purchase Price per Protected-Mbps]]</calculatedColumnFormula>
      <totalsRowFormula>MEDIAN(F118:F123)</totalsRowFormula>
    </tableColumn>
    <tableColumn id="6" name="Delta" dataDxfId="575" totalsRowDxfId="574" dataCellStyle="Currency">
      <calculatedColumnFormula>TCO_calc_tabl13[[#This Row],[Security Effectiveness Value]]-TCO_calc_tabl13[[#This Row],[Purchase Price]]</calculatedColumnFormula>
    </tableColumn>
    <tableColumn id="7" name="% Delta" dataDxfId="573" totalsRowDxfId="572" dataCellStyle="Percent">
      <calculatedColumnFormula>TCO_calc_tabl13[[#This Row],[Delta]]/TCO_calc_tabl13[[#This Row],[Purchase Price]]</calculatedColumnFormula>
    </tableColumn>
  </tableColumns>
  <tableStyleInfo name="TableStyleLight9" showFirstColumn="0" showLastColumn="0" showRowStripes="1" showColumnStripes="0"/>
</table>
</file>

<file path=xl/tables/table31.xml><?xml version="1.0" encoding="utf-8"?>
<table xmlns="http://schemas.openxmlformats.org/spreadsheetml/2006/main" id="26" name="TCO_Calc_table4" displayName="TCO_Calc_table4" ref="B30:F36" totalsRowShown="0" headerRowDxfId="571" dataDxfId="570" tableBorderDxfId="569">
  <autoFilter ref="B30:F36"/>
  <tableColumns count="5">
    <tableColumn id="1" name="Product" dataDxfId="568"/>
    <tableColumn id="2" name="Vendor-Claimed Throughput (Mbps)" dataDxfId="567" dataCellStyle="Comma">
      <calculatedColumnFormula>VLOOKUP(TCO_Calc_table4[[#This Row],[Product]],TCO_calc_table2[#All],2,FALSE)</calculatedColumnFormula>
    </tableColumn>
    <tableColumn id="3" name="Purchase Price" dataDxfId="566" dataCellStyle="Currency">
      <calculatedColumnFormula>VLOOKUP(TCO_Calc_table4[[#This Row],[Product]],TCO_calc_table1[#All],2,FALSE)</calculatedColumnFormula>
    </tableColumn>
    <tableColumn id="4" name="Exploit Block Rate" dataDxfId="565">
      <calculatedColumnFormula>HLOOKUP(TCO_Calc_table4[[#This Row],[Product]],Comb_scrd[#All],3,FALSE)</calculatedColumnFormula>
    </tableColumn>
    <tableColumn id="5" name="Purchase Price per Protected-Mbps" dataDxfId="564" dataCellStyle="Currency">
      <calculatedColumnFormula>TCO_Calc_table4[[#This Row],[Purchase Price]]/(TCO_Calc_table4[[#This Row],[Vendor-Claimed Throughput (Mbps)]]*TCO_Calc_table4[[#This Row],[Exploit Block Rate]]*Inputs_table1[NGIPS])</calculatedColumnFormula>
    </tableColumn>
  </tableColumns>
  <tableStyleInfo name="TableStyleLight9" showFirstColumn="0" showLastColumn="0" showRowStripes="1" showColumnStripes="0"/>
</table>
</file>

<file path=xl/tables/table32.xml><?xml version="1.0" encoding="utf-8"?>
<table xmlns="http://schemas.openxmlformats.org/spreadsheetml/2006/main" id="28" name="TCO_calc_table7" displayName="TCO_calc_table7" ref="B57:G63" totalsRowShown="0" headerRowDxfId="563" dataDxfId="562" tableBorderDxfId="561">
  <autoFilter ref="B57:G63"/>
  <tableColumns count="6">
    <tableColumn id="1" name="Product" dataDxfId="560"/>
    <tableColumn id="4" name="Vendor-Claimed Throughput (Mbps)" dataDxfId="559">
      <calculatedColumnFormula>VLOOKUP(TCO_calc_table7[[#This Row],[Product]],TCO_calc_table2[#All],2,FALSE)</calculatedColumnFormula>
    </tableColumn>
    <tableColumn id="2" name="NSS-Tested Throughput (Mbps)" dataDxfId="558" dataCellStyle="Comma">
      <calculatedColumnFormula>VLOOKUP(TCO_calc_table7[[#This Row],[Product]],Perf_table1[#All],2,FALSE)</calculatedColumnFormula>
    </tableColumn>
    <tableColumn id="3" name="Purchase Price" dataDxfId="557" dataCellStyle="Currency">
      <calculatedColumnFormula>VLOOKUP(TCO_calc_table7[[#This Row],[Product]],TCO_calc_table1[#All],2,FALSE)</calculatedColumnFormula>
    </tableColumn>
    <tableColumn id="7" name="Exploit Block Rate" dataDxfId="556" dataCellStyle="Percent">
      <calculatedColumnFormula>VLOOKUP(TCO_calc_table7[[#This Row],[Product]],TCO_Calc_table4[#All],4,FALSE)</calculatedColumnFormula>
    </tableColumn>
    <tableColumn id="5" name="Purchase Price per Protected-Mbps" dataDxfId="555" dataCellStyle="Currency">
      <calculatedColumnFormula>TCO_calc_table7[[#This Row],[Purchase Price]]/(TCO_calc_table7[[#This Row],[NSS-Tested Throughput (Mbps)]]*TCO_calc_table7[[#This Row],[Exploit Block Rate]]*Inputs_table1[NGIPS])</calculatedColumnFormula>
    </tableColumn>
  </tableColumns>
  <tableStyleInfo name="TableStyleLight9" showFirstColumn="0" showLastColumn="0" showRowStripes="1" showColumnStripes="0"/>
</table>
</file>

<file path=xl/tables/table33.xml><?xml version="1.0" encoding="utf-8"?>
<table xmlns="http://schemas.openxmlformats.org/spreadsheetml/2006/main" id="29" name="TCO_calc_table9" displayName="TCO_calc_table9" ref="B76:G82" totalsRowShown="0" headerRowDxfId="554" dataDxfId="553" tableBorderDxfId="552">
  <autoFilter ref="B76:G82"/>
  <tableColumns count="6">
    <tableColumn id="1" name="Product" dataDxfId="551"/>
    <tableColumn id="4" name="Vendor-Claimed Throughput (Mbps)" dataDxfId="550">
      <calculatedColumnFormula>VLOOKUP(TCO_calc_table9[[#This Row],[Product]],TCO_calc_table2[#All],2,FALSE)</calculatedColumnFormula>
    </tableColumn>
    <tableColumn id="2" name="NSS-Tested Throughput (Mbps)" dataDxfId="549" dataCellStyle="Comma">
      <calculatedColumnFormula>VLOOKUP(TCO_calc_table9[[#This Row],[Product]],Perf_table1[#All],2,FALSE)</calculatedColumnFormula>
    </tableColumn>
    <tableColumn id="3" name="Purchase Price" dataDxfId="548" dataCellStyle="Currency">
      <calculatedColumnFormula>VLOOKUP(TCO_calc_table9[[#This Row],[Product]],TCO_calc_table1[#All],2,FALSE)</calculatedColumnFormula>
    </tableColumn>
    <tableColumn id="7" name="Security Effectiveness" dataDxfId="547" dataCellStyle="Percent">
      <calculatedColumnFormula>VLOOKUP(TCO_calc_table9[[#This Row],[Product]],IPS_Security_table9[#All],3,FALSE)</calculatedColumnFormula>
    </tableColumn>
    <tableColumn id="5" name="Purchase Price per Protected-Mbps" dataDxfId="546" dataCellStyle="Currency">
      <calculatedColumnFormula>TCO_calc_table9[[#This Row],[Purchase Price]]/(TCO_calc_table9[[#This Row],[NSS-Tested Throughput (Mbps)]]*TCO_calc_table9[[#This Row],[Security Effectiveness]]*Inputs_table1[NGIPS])</calculatedColumnFormula>
    </tableColumn>
  </tableColumns>
  <tableStyleInfo name="TableStyleLight9" showFirstColumn="0" showLastColumn="0" showRowStripes="1" showColumnStripes="0"/>
</table>
</file>

<file path=xl/tables/table34.xml><?xml version="1.0" encoding="utf-8"?>
<table xmlns="http://schemas.openxmlformats.org/spreadsheetml/2006/main" id="30" name="TCO_calc_table10" displayName="TCO_calc_table10" ref="B85:H91" totalsRowShown="0" headerRowDxfId="545" dataDxfId="544" tableBorderDxfId="543">
  <autoFilter ref="B85:H91"/>
  <tableColumns count="7">
    <tableColumn id="1" name="Product" dataDxfId="542"/>
    <tableColumn id="6" name="Vendor-Claimed Throughput (Mbps)" dataDxfId="541">
      <calculatedColumnFormula>VLOOKUP(TCO_calc_table10[[#This Row],[Product]],TCO_calc_table2[#All],2,FALSE)</calculatedColumnFormula>
    </tableColumn>
    <tableColumn id="2" name="NSS-Tested Throughput (Mbps)" dataDxfId="540" dataCellStyle="Comma">
      <calculatedColumnFormula>VLOOKUP(TCO_calc_table10[[#This Row],[Product]],Perf_table1[#All],2,FALSE)</calculatedColumnFormula>
    </tableColumn>
    <tableColumn id="3" name="Purchase Price" dataDxfId="539" dataCellStyle="Currency">
      <calculatedColumnFormula>VLOOKUP(TCO_calc_table10[[#This Row],[Product]],TCO_calc_table1[#All],2,FALSE)</calculatedColumnFormula>
    </tableColumn>
    <tableColumn id="7" name="Security Effectiveness" dataDxfId="538" dataCellStyle="Percent">
      <calculatedColumnFormula>VLOOKUP(TCO_calc_table10[[#This Row],[Product]],TCO_calc_table9[#All],5,FALSE)</calculatedColumnFormula>
    </tableColumn>
    <tableColumn id="4" name="3-Year TCO" dataDxfId="537">
      <calculatedColumnFormula>VLOOKUP(TCO_calc_table10[Product],TCO_calc_table1[#All],8,FALSE)</calculatedColumnFormula>
    </tableColumn>
    <tableColumn id="5" name="TCO per Protected-Mbps" dataDxfId="536" dataCellStyle="Currency">
      <calculatedColumnFormula>TCO_calc_table10[[#This Row],[3-Year TCO]]/(TCO_calc_table10[[#This Row],[NSS-Tested Throughput (Mbps)]]*TCO_calc_table10[[#This Row],[Security Effectiveness]]*Inputs_table1[NGIPS])</calculatedColumnFormula>
    </tableColumn>
  </tableColumns>
  <tableStyleInfo name="TableStyleLight9" showFirstColumn="0" showLastColumn="0" showRowStripes="1" showColumnStripes="0"/>
</table>
</file>

<file path=xl/tables/table35.xml><?xml version="1.0" encoding="utf-8"?>
<table xmlns="http://schemas.openxmlformats.org/spreadsheetml/2006/main" id="31" name="TCO_calc_table12" displayName="TCO_calc_table12" ref="B106:F113" totalsRowCount="1" headerRowDxfId="535" dataDxfId="534" totalsRowDxfId="532" tableBorderDxfId="533">
  <autoFilter ref="B106:F112"/>
  <tableColumns count="5">
    <tableColumn id="1" name="Product" totalsRowLabel="Industry Average" dataDxfId="531" totalsRowDxfId="530"/>
    <tableColumn id="5" name="TCO per Mbps" totalsRowFunction="custom" dataDxfId="529" totalsRowDxfId="528" dataCellStyle="Currency">
      <calculatedColumnFormula>VLOOKUP(TCO_calc_table12[[#This Row],[Product]],TCO_calc_table3[#All],5,FALSE)</calculatedColumnFormula>
      <totalsRowFormula>AVERAGE(TCO_calc_table12[TCO per Mbps])</totalsRowFormula>
    </tableColumn>
    <tableColumn id="6" name="TCO per Protected-Mbps" totalsRowFunction="custom" dataDxfId="527" totalsRowDxfId="526" dataCellStyle="Currency">
      <calculatedColumnFormula>VLOOKUP(TCO_calc_table12[[#This Row],[Product]],TCO_calc_table5[#All],6,FALSE)</calculatedColumnFormula>
      <totalsRowFormula>AVERAGE(TCO_calc_table12[TCO per Protected-Mbps])</totalsRowFormula>
    </tableColumn>
    <tableColumn id="7" name="TCO per Protected-Mbps " totalsRowFunction="custom" dataDxfId="525" totalsRowDxfId="524" dataCellStyle="Currency">
      <calculatedColumnFormula>VLOOKUP(TCO_calc_table12[[#This Row],[Product]],TCO_calc_table8[#All],7,FALSE)</calculatedColumnFormula>
      <totalsRowFormula>AVERAGE(TCO_calc_table12[TCO per Protected-Mbps ])</totalsRowFormula>
    </tableColumn>
    <tableColumn id="8" name="TCO per Protected-Mbps  " totalsRowFunction="custom" dataDxfId="523" totalsRowDxfId="522" dataCellStyle="Currency">
      <calculatedColumnFormula>VLOOKUP(TCO_calc_table12[[#This Row],[Product]],TCO_calc_table10[#All],7,FALSE)</calculatedColumnFormula>
      <totalsRowFormula>AVERAGE(TCO_calc_table12[TCO per Protected-Mbps  ])</totalsRowFormula>
    </tableColumn>
  </tableColumns>
  <tableStyleInfo name="TableStyleLight9" showFirstColumn="0" showLastColumn="0" showRowStripes="1" showColumnStripes="0"/>
</table>
</file>

<file path=xl/tables/table36.xml><?xml version="1.0" encoding="utf-8"?>
<table xmlns="http://schemas.openxmlformats.org/spreadsheetml/2006/main" id="32" name="TCO_calc_table1" displayName="TCO_calc_table1" ref="B2:I8" totalsRowShown="0" headerRowDxfId="521" dataDxfId="519" headerRowBorderDxfId="520" tableBorderDxfId="518">
  <tableColumns count="8">
    <tableColumn id="1" name="Product" dataDxfId="517"/>
    <tableColumn id="2" name="Purchase Price" dataDxfId="516">
      <calculatedColumnFormula>HLOOKUP(TCO_calc_table1[[#This Row],[Product]],Inputs_table5[#All],2,FALSE)*Inputs_table1[NGIPS]+HLOOKUP(TCO_calc_table1[[#This Row],[Product]],Inputs_table5[#All],3,FALSE)*Inputs_table1[Central Management]</calculatedColumnFormula>
    </tableColumn>
    <tableColumn id="3" name="Maintenance per Year" dataDxfId="515">
      <calculatedColumnFormula>HLOOKUP(TCO_calc_table1[[#This Row],[Product]],Inputs_table5[#All],4,FALSE)*Inputs_table1[NGIPS]+HLOOKUP(TCO_calc_table1[[#This Row],[Product]],Inputs_table5[#All],5,FALSE)*Inputs_table1[Central Management]+HLOOKUP(TCO_calc_table1[[#This Row],[Product]],Inputs_table5[#All],6,FALSE)*Inputs_table1[NGIPS]</calculatedColumnFormula>
    </tableColumn>
    <tableColumn id="7" name="Year 1 Product Cost" dataDxfId="514">
      <calculatedColumnFormula>TCO_calc_table1[[#This Row],[Purchase Price]]+TCO_calc_table1[[#This Row],[Maintenance per Year]]</calculatedColumnFormula>
    </tableColumn>
    <tableColumn id="8" name="Year 1 labor Cost" dataDxfId="513">
      <calculatedColumnFormula>HLOOKUP(TCO_calc_table1[[#This Row],[Product]],Calc_cost_per_dev2[#All],2,FALSE)*Inputs_table1[NGIPS]+HLOOKUP(TCO_calc_table1[[#This Row],[Product]],Calc_cost_centm_table2[#All],2,FALSE)</calculatedColumnFormula>
    </tableColumn>
    <tableColumn id="4" name="1-Year TCO" dataDxfId="512">
      <calculatedColumnFormula>HLOOKUP(TCO_calc_table1[Product],Calc_results_table5[#All],2,FALSE)</calculatedColumnFormula>
    </tableColumn>
    <tableColumn id="5" name="Accumulated 2-Year TCO" dataDxfId="511">
      <calculatedColumnFormula>HLOOKUP(TCO_calc_table1[Product],Calc_results_table5[#All],3,FALSE)</calculatedColumnFormula>
    </tableColumn>
    <tableColumn id="6" name="3-Year TCO" dataDxfId="510">
      <calculatedColumnFormula>HLOOKUP(TCO_calc_table1[Product],Calc_results_table5[#All],4,FALSE)</calculatedColumnFormula>
    </tableColumn>
  </tableColumns>
  <tableStyleInfo name="TableStyleLight9" showFirstColumn="0" showLastColumn="0" showRowStripes="1" showColumnStripes="0"/>
</table>
</file>

<file path=xl/tables/table37.xml><?xml version="1.0" encoding="utf-8"?>
<table xmlns="http://schemas.openxmlformats.org/spreadsheetml/2006/main" id="62" name="TCO_calc_table17" displayName="TCO_calc_table17" ref="B129:G135" totalsRowShown="0" headerRowDxfId="509" dataDxfId="507" headerRowBorderDxfId="508" tableBorderDxfId="506" totalsRowBorderDxfId="505">
  <autoFilter ref="B129:G135"/>
  <tableColumns count="6">
    <tableColumn id="1" name="Product" dataDxfId="504"/>
    <tableColumn id="2" name="NSS-Tested Throughput (Mbps)" dataDxfId="503">
      <calculatedColumnFormula>VLOOKUP(TCO_calc_table17[[#This Row],[Product]],Perf_table1[#All],2,FALSE)</calculatedColumnFormula>
    </tableColumn>
    <tableColumn id="3" name="Purchase Price" dataDxfId="502">
      <calculatedColumnFormula>VLOOKUP(TCO_calc_table17[[#This Row],[Product]],TCO_calc_table1[#All],2,FALSE)</calculatedColumnFormula>
    </tableColumn>
    <tableColumn id="4" name="Security Effectiveness " dataDxfId="501" dataCellStyle="Percent">
      <calculatedColumnFormula>VLOOKUP(TCO_calc_table17[[#This Row],[Product]],TCO_calc_table9[#All],5,FALSE)</calculatedColumnFormula>
    </tableColumn>
    <tableColumn id="5" name="3-Year TCO" dataDxfId="500">
      <calculatedColumnFormula>VLOOKUP(TCO_calc_table17[Product],TCO_calc_table1[#All],8,FALSE)</calculatedColumnFormula>
    </tableColumn>
    <tableColumn id="6" name="TCO per Protected-Mbps" dataDxfId="499" dataCellStyle="Currency">
      <calculatedColumnFormula>TCO_calc_table17[3-Year TCO]/(TCO_calc_table17[NSS-Tested Throughput (Mbps)]*TCO_calc_table17[[Security Effectiveness ]]*Inputs_table1[NGIPS])</calculatedColumnFormula>
    </tableColumn>
  </tableColumns>
  <tableStyleInfo name="TableStyleLight9" showFirstColumn="0" showLastColumn="0" showRowStripes="1" showColumnStripes="0"/>
</table>
</file>

<file path=xl/tables/table38.xml><?xml version="1.0" encoding="utf-8"?>
<table xmlns="http://schemas.openxmlformats.org/spreadsheetml/2006/main" id="63" name="TCO_Calc_table18" displayName="TCO_Calc_table18" ref="B138:C144" totalsRowShown="0" headerRowDxfId="498" dataDxfId="496" headerRowBorderDxfId="497" tableBorderDxfId="495" totalsRowBorderDxfId="494">
  <autoFilter ref="B138:C144"/>
  <tableColumns count="2">
    <tableColumn id="1" name="Product" dataDxfId="493"/>
    <tableColumn id="2" name="Installation  (Hours)" dataDxfId="492">
      <calculatedColumnFormula>HLOOKUP(TCO_Calc_table18[Product],Comb_scrd[#All],234,FALSE)</calculatedColumnFormula>
    </tableColumn>
  </tableColumns>
  <tableStyleInfo name="TableStyleLight9" showFirstColumn="0" showLastColumn="0" showRowStripes="1" showColumnStripes="0"/>
</table>
</file>

<file path=xl/tables/table39.xml><?xml version="1.0" encoding="utf-8"?>
<table xmlns="http://schemas.openxmlformats.org/spreadsheetml/2006/main" id="65" name="Table65" displayName="Table65" ref="B147:G153" totalsRowShown="0" headerRowDxfId="491" dataDxfId="489" headerRowBorderDxfId="490" tableBorderDxfId="488" totalsRowBorderDxfId="487" dataCellStyle="Currency">
  <autoFilter ref="B147:G153"/>
  <tableColumns count="6">
    <tableColumn id="1" name="Product" dataDxfId="486"/>
    <tableColumn id="2" name="Initial Purchase Price per Device (Hardware as Tested)" dataDxfId="485" dataCellStyle="Currency">
      <calculatedColumnFormula>HLOOKUP(Table65[[#This Row],[Product]],Inputs_table5[#All],2,FALSE)</calculatedColumnFormula>
    </tableColumn>
    <tableColumn id="3" name="Initial Purchase Price (CMS)" dataDxfId="484" dataCellStyle="Currency">
      <calculatedColumnFormula>HLOOKUP(Table65[[#This Row],[Product]],Inputs_table5[#All],3,FALSE)</calculatedColumnFormula>
    </tableColumn>
    <tableColumn id="4" name="Annual Cost of Maintenance and Support (Hardware/Software)" dataDxfId="483" dataCellStyle="Currency">
      <calculatedColumnFormula>HLOOKUP(Table65[[#This Row],[Product]],Inputs_table5[#All],4,FALSE)</calculatedColumnFormula>
    </tableColumn>
    <tableColumn id="5" name="Annual Cost of Maintenance and Support (CMS)" dataDxfId="482" dataCellStyle="Currency">
      <calculatedColumnFormula>HLOOKUP(Table65[[#This Row],[Product]],Inputs_table5[#All],5,FALSE)</calculatedColumnFormula>
    </tableColumn>
    <tableColumn id="6" name="Annual Cost for Signature Updates " dataDxfId="481" dataCellStyle="Currency">
      <calculatedColumnFormula>HLOOKUP(Table65[[#This Row],[Product]],Inputs_table5[#All],6,FALSE)</calculatedColumnFormula>
    </tableColumn>
  </tableColumns>
  <tableStyleInfo name="TableStyleLight9" showFirstColumn="0" showLastColumn="0" showRowStripes="1" showColumnStripes="0"/>
</table>
</file>

<file path=xl/tables/table4.xml><?xml version="1.0" encoding="utf-8"?>
<table xmlns="http://schemas.openxmlformats.org/spreadsheetml/2006/main" id="49" name="Inputs_table1" displayName="Inputs_table1" ref="B2:D3" totalsRowShown="0" headerRowDxfId="831" dataDxfId="830">
  <autoFilter ref="B2:D3"/>
  <tableColumns count="3">
    <tableColumn id="1" name="-" dataDxfId="829"/>
    <tableColumn id="2" name="NGIPS" dataDxfId="828"/>
    <tableColumn id="3" name="Central Management" dataDxfId="827"/>
  </tableColumns>
  <tableStyleInfo name="TableStyleLight9" showFirstColumn="0" showLastColumn="0" showRowStripes="1" showColumnStripes="0"/>
</table>
</file>

<file path=xl/tables/table40.xml><?xml version="1.0" encoding="utf-8"?>
<table xmlns="http://schemas.openxmlformats.org/spreadsheetml/2006/main" id="5" name="Perf_table6" displayName="Perf_table6" ref="B47:F53" totalsRowShown="0" headerRowDxfId="480" dataDxfId="478" headerRowBorderDxfId="479" tableBorderDxfId="477" totalsRowBorderDxfId="476">
  <autoFilter ref="B47:F53"/>
  <tableColumns count="5">
    <tableColumn id="1" name="Product" dataDxfId="475"/>
    <tableColumn id="3" name="“Real World” Protocol Mix (Enterprise Perimeter)" dataDxfId="474" dataCellStyle="Comma">
      <calculatedColumnFormula>HLOOKUP(Perf_table6[[#This Row],[Product]],Comb_scrd[#All],215,FALSE)</calculatedColumnFormula>
    </tableColumn>
    <tableColumn id="4" name="“Real World” Protocol Mix (Enterprise Core)" dataDxfId="473" dataCellStyle="Comma">
      <calculatedColumnFormula>HLOOKUP(Perf_table6[[#This Row],[Product]],Comb_scrd[#All],216,FALSE)</calculatedColumnFormula>
    </tableColumn>
    <tableColumn id="2" name="“Real World” Protocol Mix (Financial)" dataDxfId="472" dataCellStyle="Comma">
      <calculatedColumnFormula>HLOOKUP(Perf_table6[[#This Row],[Product]],Comb_scrd[#All],217,FALSE)</calculatedColumnFormula>
    </tableColumn>
    <tableColumn id="5" name="“Real World” Protocol Mix (Education)" dataDxfId="471" dataCellStyle="Comma">
      <calculatedColumnFormula>HLOOKUP(Perf_table6[[#This Row],[Product]],Comb_scrd[#All],218,FALSE)</calculatedColumnFormula>
    </tableColumn>
  </tableColumns>
  <tableStyleInfo name="TableStyleLight9" showFirstColumn="0" showLastColumn="0" showRowStripes="1" showColumnStripes="0"/>
</table>
</file>

<file path=xl/tables/table41.xml><?xml version="1.0" encoding="utf-8"?>
<table xmlns="http://schemas.openxmlformats.org/spreadsheetml/2006/main" id="9" name="Perf_table2" displayName="Perf_table2" ref="B11:G17" totalsRowShown="0" headerRowDxfId="470" dataDxfId="468" headerRowBorderDxfId="469" tableBorderDxfId="467" totalsRowBorderDxfId="466">
  <autoFilter ref="B11:G17"/>
  <tableColumns count="6">
    <tableColumn id="1" name="Product" dataDxfId="465"/>
    <tableColumn id="2" name="Theoretical Max. Concurrent TCP Connections" dataDxfId="464" dataCellStyle="Comma">
      <calculatedColumnFormula>HLOOKUP(Perf_table2[[#This Row],[Product]],Comb_scrd[#All],194,FALSE)</calculatedColumnFormula>
    </tableColumn>
    <tableColumn id="3" name="Theoretical Max. Concurrent TCP Connections w/Data" dataDxfId="463" dataCellStyle="Comma">
      <calculatedColumnFormula>HLOOKUP(Perf_table2[[#This Row],[Product]],Comb_scrd[#All],195,FALSE)</calculatedColumnFormula>
    </tableColumn>
    <tableColumn id="4" name="Maximum TCP Connections Per Second" dataDxfId="462" dataCellStyle="Comma">
      <calculatedColumnFormula>HLOOKUP(Perf_table2[[#This Row],[Product]],Comb_scrd[#All],196,FALSE)</calculatedColumnFormula>
    </tableColumn>
    <tableColumn id="5" name="Maximum HTTP Connections Per Second" dataDxfId="461" dataCellStyle="Comma">
      <calculatedColumnFormula>HLOOKUP(Perf_table2[[#This Row],[Product]],Comb_scrd[#All],197,FALSE)</calculatedColumnFormula>
    </tableColumn>
    <tableColumn id="6" name="Maximum HTTP Transactions Per Second" dataDxfId="460" dataCellStyle="Comma">
      <calculatedColumnFormula>HLOOKUP(Perf_table2[[#This Row],[Product]],Comb_scrd[#All],198,FALSE)</calculatedColumnFormula>
    </tableColumn>
  </tableColumns>
  <tableStyleInfo name="TableStyleLight9" showFirstColumn="0" showLastColumn="0" showRowStripes="1" showColumnStripes="0"/>
</table>
</file>

<file path=xl/tables/table42.xml><?xml version="1.0" encoding="utf-8"?>
<table xmlns="http://schemas.openxmlformats.org/spreadsheetml/2006/main" id="10" name="Perf_table3" displayName="Perf_table3" ref="B20:Q26" totalsRowShown="0" headerRowDxfId="459" dataDxfId="457" headerRowBorderDxfId="458" tableBorderDxfId="456" totalsRowBorderDxfId="455">
  <autoFilter ref="B20:Q26"/>
  <sortState ref="B40:Q54">
    <sortCondition descending="1" ref="C39:C54"/>
  </sortState>
  <tableColumns count="16">
    <tableColumn id="1" name="Product" dataDxfId="454"/>
    <tableColumn id="2" name="44 KB Response" dataDxfId="453" dataCellStyle="Comma">
      <calculatedColumnFormula>HLOOKUP(Perf_table3[[#This Row],[Product]],Comb_scrd[#All],200,FALSE)</calculatedColumnFormula>
    </tableColumn>
    <tableColumn id="3" name="21 KB Response" dataDxfId="452" dataCellStyle="Comma">
      <calculatedColumnFormula>HLOOKUP(Perf_table3[[#This Row],[Product]],Comb_scrd[#All],201,FALSE)</calculatedColumnFormula>
    </tableColumn>
    <tableColumn id="4" name="10 KB Response" dataDxfId="451" dataCellStyle="Comma">
      <calculatedColumnFormula>HLOOKUP(Perf_table3[[#This Row],[Product]],Comb_scrd[#All],202,FALSE)</calculatedColumnFormula>
    </tableColumn>
    <tableColumn id="5" name="4.5 KB Response" dataDxfId="450" dataCellStyle="Comma">
      <calculatedColumnFormula>HLOOKUP(Perf_table3[[#This Row],[Product]],Comb_scrd[#All],203,FALSE)</calculatedColumnFormula>
    </tableColumn>
    <tableColumn id="6" name="1.7 KB Response" dataDxfId="449" dataCellStyle="Comma">
      <calculatedColumnFormula>HLOOKUP(Perf_table3[[#This Row],[Product]],Comb_scrd[#All],204,FALSE)</calculatedColumnFormula>
    </tableColumn>
    <tableColumn id="7" name="44 KB Latency (ms)" dataDxfId="448" dataCellStyle="Comma">
      <calculatedColumnFormula>HLOOKUP(Perf_table3[[#This Row],[Product]],Comb_scrd[#All],206,FALSE)</calculatedColumnFormula>
    </tableColumn>
    <tableColumn id="8" name="21 KB Latency (ms)" dataDxfId="447" dataCellStyle="Comma">
      <calculatedColumnFormula>HLOOKUP(Perf_table3[[#This Row],[Product]],Comb_scrd[#All],207,FALSE)</calculatedColumnFormula>
    </tableColumn>
    <tableColumn id="9" name="10 KB Latency (ms)" dataDxfId="446" dataCellStyle="Comma">
      <calculatedColumnFormula>HLOOKUP(Perf_table3[[#This Row],[Product]],Comb_scrd[#All],208,FALSE)</calculatedColumnFormula>
    </tableColumn>
    <tableColumn id="10" name="4.5 KB Latency (ms)" dataDxfId="445" dataCellStyle="Comma">
      <calculatedColumnFormula>HLOOKUP(Perf_table3[[#This Row],[Product]],Comb_scrd[#All],209,FALSE)</calculatedColumnFormula>
    </tableColumn>
    <tableColumn id="11" name="1.7 KB Response ((ms)" dataDxfId="444" dataCellStyle="Comma">
      <calculatedColumnFormula>HLOOKUP(Perf_table3[[#This Row],[Product]],Comb_scrd[#All],210,FALSE)</calculatedColumnFormula>
    </tableColumn>
    <tableColumn id="12" name="44 KB Response (Mbps)" dataDxfId="443" dataCellStyle="Comma">
      <calculatedColumnFormula>Perf_table3[[#This Row],[44 KB Response]]/2.5</calculatedColumnFormula>
    </tableColumn>
    <tableColumn id="13" name="21 KB Response (Mbps)" dataDxfId="442" dataCellStyle="Comma">
      <calculatedColumnFormula>Perf_table3[[#This Row],[21 KB Response]]/5</calculatedColumnFormula>
    </tableColumn>
    <tableColumn id="14" name="10 KB Response (Mbps)" dataDxfId="441" dataCellStyle="Comma">
      <calculatedColumnFormula>Perf_table3[[#This Row],[10 KB Response]]/10</calculatedColumnFormula>
    </tableColumn>
    <tableColumn id="15" name="4.5 KB Response (Mbps)" dataDxfId="440" dataCellStyle="Comma">
      <calculatedColumnFormula>Perf_table3[[#This Row],[4.5 KB Response]]/20</calculatedColumnFormula>
    </tableColumn>
    <tableColumn id="16" name="1.7 KB Response (Mbps)" dataDxfId="439" dataCellStyle="Comma">
      <calculatedColumnFormula>Perf_table3[[#This Row],[1.7 KB Response]]/40</calculatedColumnFormula>
    </tableColumn>
  </tableColumns>
  <tableStyleInfo name="TableStyleLight9" showFirstColumn="0" showLastColumn="0" showRowStripes="1" showColumnStripes="0"/>
</table>
</file>

<file path=xl/tables/table43.xml><?xml version="1.0" encoding="utf-8"?>
<table xmlns="http://schemas.openxmlformats.org/spreadsheetml/2006/main" id="33" name="Perf_table4" displayName="Perf_table4" ref="B29:D35" totalsRowShown="0" headerRowDxfId="438" dataDxfId="436" headerRowBorderDxfId="437" tableBorderDxfId="435" totalsRowBorderDxfId="434">
  <autoFilter ref="B29:D35"/>
  <tableColumns count="3">
    <tableColumn id="1" name="Product" dataDxfId="433"/>
    <tableColumn id="2" name="21 KB Response With Delay" dataDxfId="432" dataCellStyle="Comma">
      <calculatedColumnFormula>HLOOKUP(Perf_table4[[#This Row],[Product]],Comb_scrd[#All],212,FALSE)</calculatedColumnFormula>
    </tableColumn>
    <tableColumn id="3" name="10 KB Response With Delay" dataDxfId="431" dataCellStyle="Comma">
      <calculatedColumnFormula>HLOOKUP(Perf_table4[[#This Row],[Product]],Comb_scrd[#All],213,FALSE)</calculatedColumnFormula>
    </tableColumn>
  </tableColumns>
  <tableStyleInfo name="TableStyleLight9" showFirstColumn="0" showLastColumn="0" showRowStripes="1" showColumnStripes="0"/>
</table>
</file>

<file path=xl/tables/table44.xml><?xml version="1.0" encoding="utf-8"?>
<table xmlns="http://schemas.openxmlformats.org/spreadsheetml/2006/main" id="34" name="Perf_table5" displayName="Perf_table5" ref="B38:N44" totalsRowShown="0" headerRowDxfId="430" dataDxfId="428" headerRowBorderDxfId="429" tableBorderDxfId="427" totalsRowBorderDxfId="426">
  <autoFilter ref="B38:N44"/>
  <sortState ref="B76:N87">
    <sortCondition ref="B75:B87"/>
  </sortState>
  <tableColumns count="13">
    <tableColumn id="1" name="Product" dataDxfId="425"/>
    <tableColumn id="2" name="64 Byte Packets" dataDxfId="424" dataCellStyle="Comma">
      <calculatedColumnFormula>HLOOKUP(Perf_table5[[#This Row],[Product]],Comb_scrd[#All],180,FALSE)</calculatedColumnFormula>
    </tableColumn>
    <tableColumn id="3" name="128 Byte Packets" dataDxfId="423" dataCellStyle="Comma">
      <calculatedColumnFormula>HLOOKUP(Perf_table5[[#This Row],[Product]],Comb_scrd[#All],181,FALSE)</calculatedColumnFormula>
    </tableColumn>
    <tableColumn id="4" name="256 Byte Packets" dataDxfId="422" dataCellStyle="Comma">
      <calculatedColumnFormula>HLOOKUP(Perf_table5[[#This Row],[Product]],Comb_scrd[#All],182,FALSE)</calculatedColumnFormula>
    </tableColumn>
    <tableColumn id="5" name="512 Byte Packets" dataDxfId="421" dataCellStyle="Comma">
      <calculatedColumnFormula>HLOOKUP(Perf_table5[[#This Row],[Product]],Comb_scrd[#All],183,FALSE)</calculatedColumnFormula>
    </tableColumn>
    <tableColumn id="6" name="1024 Byte Packets" dataDxfId="420" dataCellStyle="Comma">
      <calculatedColumnFormula>HLOOKUP(Perf_table5[[#This Row],[Product]],Comb_scrd[#All],184,FALSE)</calculatedColumnFormula>
    </tableColumn>
    <tableColumn id="12" name="1514 Byte Packets" dataDxfId="419" dataCellStyle="Comma">
      <calculatedColumnFormula>HLOOKUP(Perf_table5[[#This Row],[Product]],Comb_scrd[#All],185,FALSE)</calculatedColumnFormula>
    </tableColumn>
    <tableColumn id="13" name="64 Byte Packets - Latency (μs)" dataDxfId="418" dataCellStyle="Comma">
      <calculatedColumnFormula>HLOOKUP(Perf_table5[[#This Row],[Product]],Comb_scrd[#All],187,FALSE)</calculatedColumnFormula>
    </tableColumn>
    <tableColumn id="7" name="128 Byte Packets - Latency (μs)" dataDxfId="417" dataCellStyle="Comma">
      <calculatedColumnFormula>HLOOKUP(Perf_table5[[#This Row],[Product]],Comb_scrd[#All],188,FALSE)</calculatedColumnFormula>
    </tableColumn>
    <tableColumn id="8" name="256 Byte Packets - Latency (μs)" dataDxfId="416" dataCellStyle="Comma">
      <calculatedColumnFormula>HLOOKUP(Perf_table5[[#This Row],[Product]],Comb_scrd[#All],189,FALSE)</calculatedColumnFormula>
    </tableColumn>
    <tableColumn id="9" name="512 Byte Packets - Latency (μs)" dataDxfId="415" dataCellStyle="Comma">
      <calculatedColumnFormula>HLOOKUP(Perf_table5[[#This Row],[Product]],Comb_scrd[#All],190,FALSE)</calculatedColumnFormula>
    </tableColumn>
    <tableColumn id="10" name="1024 Byte Packets - Latency (μs)" dataDxfId="414" dataCellStyle="Comma">
      <calculatedColumnFormula>HLOOKUP(Perf_table5[[#This Row],[Product]],Comb_scrd[#All],191,FALSE)</calculatedColumnFormula>
    </tableColumn>
    <tableColumn id="11" name="1514 Byte Packets - Latency (μs)" dataDxfId="413" dataCellStyle="Comma">
      <calculatedColumnFormula>HLOOKUP(Perf_table5[[#This Row],[Product]],Comb_scrd[#All],192,FALSE)</calculatedColumnFormula>
    </tableColumn>
  </tableColumns>
  <tableStyleInfo name="TableStyleLight9" showFirstColumn="0" showLastColumn="0" showRowStripes="1" showColumnStripes="0"/>
</table>
</file>

<file path=xl/tables/table45.xml><?xml version="1.0" encoding="utf-8"?>
<table xmlns="http://schemas.openxmlformats.org/spreadsheetml/2006/main" id="35" name="Perf_table1" displayName="Perf_table1" ref="B2:E8" totalsRowShown="0" headerRowDxfId="412" dataDxfId="410" headerRowBorderDxfId="411" tableBorderDxfId="409" totalsRowBorderDxfId="408">
  <autoFilter ref="B2:E8"/>
  <sortState ref="B2:E16">
    <sortCondition ref="C1:C16"/>
  </sortState>
  <tableColumns count="4">
    <tableColumn id="1" name="Product" dataDxfId="407"/>
    <tableColumn id="2" name="NSS-Tested Throughput (Mbps)" dataDxfId="406" dataCellStyle="Comma">
      <calculatedColumnFormula>AVERAGE(HLOOKUP(Perf_table1[Product],Comb_scrd[#All],215,FALSE),HLOOKUP(Perf_table1[Product],Comb_scrd[#All],216,FALSE),HLOOKUP(Perf_table1[Product],Comb_scrd[#All],217,FALSE),HLOOKUP(Perf_table1[Product],Comb_scrd[#All],218,FALSE),HLOOKUP(Perf_table1[Product],Comb_scrd[#All],201,FALSE)/5)</calculatedColumnFormula>
    </tableColumn>
    <tableColumn id="3" name="Vendor-Claimed Throughput (Mbps)" dataDxfId="405" dataCellStyle="Comma">
      <calculatedColumnFormula>VLOOKUP(Perf_table1[[#This Row],[Product]],TCO_calc_table2[#All],2,FALSE)</calculatedColumnFormula>
    </tableColumn>
    <tableColumn id="4" name="DELTA %" dataDxfId="404" dataCellStyle="Percent">
      <calculatedColumnFormula>(Perf_table1[[#This Row],[NSS-Tested Throughput (Mbps)]]-Perf_table1[[#This Row],[Vendor-Claimed Throughput (Mbps)]])/Perf_table1[[#This Row],[Vendor-Claimed Throughput (Mbps)]]</calculatedColumnFormula>
    </tableColumn>
  </tableColumns>
  <tableStyleInfo name="TableStyleLight9" showFirstColumn="0" showLastColumn="0" showRowStripes="1" showColumnStripes="0"/>
</table>
</file>

<file path=xl/tables/table46.xml><?xml version="1.0" encoding="utf-8"?>
<table xmlns="http://schemas.openxmlformats.org/spreadsheetml/2006/main" id="43" name="Calc_results_table2" displayName="Calc_results_table2" ref="B6:H9" totalsRowShown="0" headerRowDxfId="403" dataDxfId="402">
  <autoFilter ref="B6:H9"/>
  <tableColumns count="7">
    <tableColumn id="1" name="Annual Cost" dataDxfId="401"/>
    <tableColumn id="2" name="Cisco FirePOWER 8350" dataDxfId="400">
      <calculatedColumnFormula>HLOOKUP(Calc_results_table2[[#Headers],[Cisco FirePOWER 8350]],Calc_cost_centm_table4[#All],2,FALSE)</calculatedColumnFormula>
    </tableColumn>
    <tableColumn id="3" name="Fortinet FortiGate-1500D" dataDxfId="399" dataCellStyle="Input"/>
    <tableColumn id="4" name="HP TippingPoint S7500NX" dataDxfId="398" dataCellStyle="Input"/>
    <tableColumn id="9" name="IBM Security Network Protection XGS 5100" dataDxfId="397" dataCellStyle="Input"/>
    <tableColumn id="5" name="IBM Security Network Protection XGS 7100" dataDxfId="396" dataCellStyle="Input"/>
    <tableColumn id="6" name="Palo Alto Networks PA-5020" dataDxfId="395" dataCellStyle="Input"/>
  </tableColumns>
  <tableStyleInfo name="TableStyleLight9" showFirstColumn="0" showLastColumn="0" showRowStripes="1" showColumnStripes="0"/>
</table>
</file>

<file path=xl/tables/table47.xml><?xml version="1.0" encoding="utf-8"?>
<table xmlns="http://schemas.openxmlformats.org/spreadsheetml/2006/main" id="44" name="Calc_results_table4" displayName="Calc_results_table4" ref="B20:H23" totalsRowShown="0" headerRowDxfId="394" dataDxfId="393" tableBorderDxfId="392">
  <autoFilter ref="B20:H23"/>
  <tableColumns count="7">
    <tableColumn id="1" name="Cost Per Year" dataDxfId="391"/>
    <tableColumn id="2" name="Cisco FirePOWER 8350" dataDxfId="390" dataCellStyle="Input">
      <calculatedColumnFormula>HLOOKUP(Calc_results_table4[[#Headers],[Cisco FirePOWER 8350]],Inputs_table5[#All],2,FALSE)+HLOOKUP(Calc_results_table4[[#Headers],[Cisco FirePOWER 8350]],Inputs_table5[#All],4,FALSE)+HLOOKUP(Calc_results_table4[[#Headers],[Cisco FirePOWER 8350]],Inputs_table5[#All],6,FALSE)</calculatedColumnFormula>
    </tableColumn>
    <tableColumn id="3" name="Fortinet FortiGate-1500D" dataDxfId="389" dataCellStyle="Input"/>
    <tableColumn id="4" name="HP TippingPoint S7500NX" dataDxfId="388" dataCellStyle="Input"/>
    <tableColumn id="9" name="IBM Security Network Protection XGS 5100" dataDxfId="387" dataCellStyle="Input"/>
    <tableColumn id="5" name="IBM Security Network Protection XGS 7100" dataDxfId="386" dataCellStyle="Input"/>
    <tableColumn id="6" name="Palo Alto Networks PA-5020" dataDxfId="385" dataCellStyle="Input"/>
  </tableColumns>
  <tableStyleInfo name="TableStyleLight9" showFirstColumn="0" showLastColumn="0" showRowStripes="1" showColumnStripes="0"/>
</table>
</file>

<file path=xl/tables/table48.xml><?xml version="1.0" encoding="utf-8"?>
<table xmlns="http://schemas.openxmlformats.org/spreadsheetml/2006/main" id="45" name="Calc_results_table3" displayName="Calc_results_table3" ref="B13:H16" totalsRowShown="0" headerRowDxfId="384" dataDxfId="383" tableBorderDxfId="382">
  <autoFilter ref="B13:H16"/>
  <tableColumns count="7">
    <tableColumn id="1" name="Annual Cost" dataDxfId="381"/>
    <tableColumn id="2" name="Cisco FirePOWER 8350" dataDxfId="380" dataCellStyle="Input">
      <calculatedColumnFormula>HLOOKUP(Calc_results_table3[[#Headers],[Cisco FirePOWER 8350]],Calc_cost_per_dev_table1[#All],2,FALSE)+HLOOKUP(Calc_results_table3[[#Headers],[Cisco FirePOWER 8350]],Calc_cost_per_dev_table1[#All],3,FALSE)+HLOOKUP(Calc_results_table3[[#Headers],[Cisco FirePOWER 8350]],Calc_cost_per_dev_table1[#All],4,FALSE)</calculatedColumnFormula>
    </tableColumn>
    <tableColumn id="3" name="Fortinet FortiGate-1500D" dataDxfId="379" dataCellStyle="Input"/>
    <tableColumn id="4" name="HP TippingPoint S7500NX" dataDxfId="378" dataCellStyle="Input"/>
    <tableColumn id="9" name="IBM Security Network Protection XGS 5100" dataDxfId="377" dataCellStyle="Input"/>
    <tableColumn id="5" name="IBM Security Network Protection XGS 7100" dataDxfId="376" dataCellStyle="Input"/>
    <tableColumn id="6" name="Palo Alto Networks PA-5020" dataDxfId="375" dataCellStyle="Input"/>
  </tableColumns>
  <tableStyleInfo name="TableStyleLight9" showFirstColumn="0" showLastColumn="0" showRowStripes="1" showColumnStripes="0"/>
</table>
</file>

<file path=xl/tables/table49.xml><?xml version="1.0" encoding="utf-8"?>
<table xmlns="http://schemas.openxmlformats.org/spreadsheetml/2006/main" id="47" name="Calc_results_table5" displayName="Calc_results_table5" ref="B27:H30" totalsRowShown="0" headerRowDxfId="374" dataDxfId="373" tableBorderDxfId="372">
  <autoFilter ref="B27:H30"/>
  <tableColumns count="7">
    <tableColumn id="1" name="Running Totals" dataDxfId="371"/>
    <tableColumn id="2" name="Cisco FirePOWER 8350" dataDxfId="370" dataCellStyle="Input">
      <calculatedColumnFormula>C14+#REF!</calculatedColumnFormula>
    </tableColumn>
    <tableColumn id="3" name="Fortinet FortiGate-1500D" dataDxfId="369" dataCellStyle="Input"/>
    <tableColumn id="4" name="HP TippingPoint S7500NX" dataDxfId="368" dataCellStyle="Input"/>
    <tableColumn id="9" name="IBM Security Network Protection XGS 5100" dataDxfId="367" dataCellStyle="Input"/>
    <tableColumn id="5" name="IBM Security Network Protection XGS 7100" dataDxfId="366" dataCellStyle="Input"/>
    <tableColumn id="6" name="Palo Alto Networks PA-5020" dataDxfId="365" dataCellStyle="Input"/>
  </tableColumns>
  <tableStyleInfo name="TableStyleLight9" showFirstColumn="0" showLastColumn="0" showRowStripes="1" showColumnStripes="0"/>
</table>
</file>

<file path=xl/tables/table5.xml><?xml version="1.0" encoding="utf-8"?>
<table xmlns="http://schemas.openxmlformats.org/spreadsheetml/2006/main" id="1" name="Inputs_table4" displayName="Inputs_table4" ref="B21:H24" totalsRowShown="0" headerRowDxfId="826" dataDxfId="825">
  <autoFilter ref="B21:H24"/>
  <tableColumns count="7">
    <tableColumn id="1" name="-" dataDxfId="824"/>
    <tableColumn id="2" name="Cisco FirePOWER 8350" dataDxfId="823" dataCellStyle="Input"/>
    <tableColumn id="3" name="Fortinet FortiGate-1500D" dataDxfId="822" dataCellStyle="Input"/>
    <tableColumn id="4" name="HP TippingPoint S7500NX" dataDxfId="821" dataCellStyle="Input"/>
    <tableColumn id="9" name="IBM Security Network Protection XGS 5100" dataDxfId="820" dataCellStyle="Input"/>
    <tableColumn id="5" name="IBM Security Network Protection XGS 7100" dataDxfId="819" dataCellStyle="Input"/>
    <tableColumn id="6" name="Palo Alto Networks PA-5020" dataDxfId="818" dataCellStyle="Input"/>
  </tableColumns>
  <tableStyleInfo name="TableStyleLight9" showFirstColumn="0" showLastColumn="0" showRowStripes="1" showColumnStripes="0"/>
</table>
</file>

<file path=xl/tables/table50.xml><?xml version="1.0" encoding="utf-8"?>
<table xmlns="http://schemas.openxmlformats.org/spreadsheetml/2006/main" id="50" name="Calc_results_table1" displayName="Calc_results_table1" ref="B1:D2" totalsRowShown="0" headerRowDxfId="364" dataDxfId="363">
  <autoFilter ref="B1:D2"/>
  <tableColumns count="3">
    <tableColumn id="1" name="-" dataDxfId="362"/>
    <tableColumn id="2" name="NGIPS" dataDxfId="361">
      <calculatedColumnFormula>HLOOKUP(Calc_results_table1[[#Headers],[NGIPS]],Inputs_table1[#All],2,FALSE)</calculatedColumnFormula>
    </tableColumn>
    <tableColumn id="3" name="Central Management" dataDxfId="360">
      <calculatedColumnFormula>HLOOKUP(Calc_results_table1[[#Headers],[Central Management]],Inputs_table1[#All],2,FALSE)</calculatedColumnFormula>
    </tableColumn>
  </tableColumns>
  <tableStyleInfo name="TableStyleLight9" showFirstColumn="0" showLastColumn="0" showRowStripes="1" showColumnStripes="0"/>
</table>
</file>

<file path=xl/tables/table51.xml><?xml version="1.0" encoding="utf-8"?>
<table xmlns="http://schemas.openxmlformats.org/spreadsheetml/2006/main" id="17" name="Calc_cost_per_dev_table1" displayName="Calc_cost_per_dev_table1" ref="B2:H5" totalsRowShown="0" headerRowDxfId="359" dataDxfId="358">
  <autoFilter ref="B2:H5"/>
  <tableColumns count="7">
    <tableColumn id="1" name="-" dataDxfId="357"/>
    <tableColumn id="2" name="Cisco FirePOWER 8350" dataDxfId="356" dataCellStyle="Input"/>
    <tableColumn id="3" name="Fortinet FortiGate-1500D" dataDxfId="355"/>
    <tableColumn id="4" name="HP TippingPoint S7500NX" dataDxfId="354"/>
    <tableColumn id="9" name="IBM Security Network Protection XGS 5100" dataDxfId="353" dataCellStyle="Input"/>
    <tableColumn id="5" name="IBM Security Network Protection XGS 7100" dataDxfId="352"/>
    <tableColumn id="6" name="Palo Alto Networks PA-5020" dataDxfId="351"/>
  </tableColumns>
  <tableStyleInfo name="TableStyleLight9" showFirstColumn="0" showLastColumn="0" showRowStripes="1" showColumnStripes="0"/>
</table>
</file>

<file path=xl/tables/table52.xml><?xml version="1.0" encoding="utf-8"?>
<table xmlns="http://schemas.openxmlformats.org/spreadsheetml/2006/main" id="20" name="Calc_cost_per_dev3" displayName="Calc_cost_per_dev3" ref="B16:H19" totalsRowShown="0" headerRowDxfId="350" dataDxfId="349" tableBorderDxfId="348">
  <autoFilter ref="B16:H19"/>
  <tableColumns count="7">
    <tableColumn id="1" name="Annual Cost" dataDxfId="347"/>
    <tableColumn id="2" name="Cisco FirePOWER 8350" dataDxfId="346" dataCellStyle="Input">
      <calculatedColumnFormula>HLOOKUP(Calc_cost_per_dev3[[#Headers],[Cisco FirePOWER 8350]],Inputs_table5[#All],2,FALSE)+HLOOKUP(Calc_cost_per_dev3[[#Headers],[Cisco FirePOWER 8350]],Inputs_table5[#All],4,FALSE)+HLOOKUP(Calc_cost_per_dev3[[#Headers],[Cisco FirePOWER 8350]],Inputs_table5[#All],6,FALSE)</calculatedColumnFormula>
    </tableColumn>
    <tableColumn id="3" name="Fortinet FortiGate-1500D" dataDxfId="345" dataCellStyle="Input"/>
    <tableColumn id="4" name="HP TippingPoint S7500NX" dataDxfId="344" dataCellStyle="Input"/>
    <tableColumn id="9" name="IBM Security Network Protection XGS 5100" dataDxfId="343" dataCellStyle="Input"/>
    <tableColumn id="5" name="IBM Security Network Protection XGS 7100" dataDxfId="342" dataCellStyle="Input"/>
    <tableColumn id="6" name="Palo Alto Networks PA-5020" dataDxfId="341" dataCellStyle="Input"/>
  </tableColumns>
  <tableStyleInfo name="TableStyleLight9" showFirstColumn="0" showLastColumn="0" showRowStripes="1" showColumnStripes="0"/>
</table>
</file>

<file path=xl/tables/table53.xml><?xml version="1.0" encoding="utf-8"?>
<table xmlns="http://schemas.openxmlformats.org/spreadsheetml/2006/main" id="21" name="Calc_cost_per_dev2" displayName="Calc_cost_per_dev2" ref="B9:H12" totalsRowShown="0" headerRowDxfId="340" dataDxfId="339" tableBorderDxfId="338">
  <autoFilter ref="B9:H12"/>
  <tableColumns count="7">
    <tableColumn id="1" name="Annual Cost" dataDxfId="337"/>
    <tableColumn id="2" name="Cisco FirePOWER 8350" dataDxfId="336" dataCellStyle="Input">
      <calculatedColumnFormula>HLOOKUP(Calc_cost_per_dev2[[#Headers],[Cisco FirePOWER 8350]],Calc_cost_per_dev_table1[#All],2,FALSE)+HLOOKUP(Calc_cost_per_dev2[[#Headers],[Cisco FirePOWER 8350]],Calc_cost_per_dev_table1[#All],3,FALSE)+HLOOKUP(Calc_cost_per_dev2[[#Headers],[Cisco FirePOWER 8350]],Calc_cost_per_dev_table1[#All],4,FALSE)</calculatedColumnFormula>
    </tableColumn>
    <tableColumn id="3" name="Fortinet FortiGate-1500D" dataDxfId="335" dataCellStyle="Input"/>
    <tableColumn id="4" name="HP TippingPoint S7500NX" dataDxfId="334" dataCellStyle="Input"/>
    <tableColumn id="9" name="IBM Security Network Protection XGS 5100" dataDxfId="333" dataCellStyle="Input"/>
    <tableColumn id="5" name="IBM Security Network Protection XGS 7100" dataDxfId="332" dataCellStyle="Input"/>
    <tableColumn id="6" name="Palo Alto Networks PA-5020" dataDxfId="331" dataCellStyle="Input"/>
  </tableColumns>
  <tableStyleInfo name="TableStyleLight9" showFirstColumn="0" showLastColumn="0" showRowStripes="1" showColumnStripes="0"/>
</table>
</file>

<file path=xl/tables/table54.xml><?xml version="1.0" encoding="utf-8"?>
<table xmlns="http://schemas.openxmlformats.org/spreadsheetml/2006/main" id="22" name="Calc_cost_per_dev4" displayName="Calc_cost_per_dev4" ref="B23:H26" totalsRowShown="0" headerRowDxfId="330" dataDxfId="329" tableBorderDxfId="328">
  <autoFilter ref="B23:H26"/>
  <tableColumns count="7">
    <tableColumn id="1" name="Annual Cost" dataDxfId="327"/>
    <tableColumn id="2" name="Cisco FirePOWER 8350" dataDxfId="326" dataCellStyle="Input">
      <calculatedColumnFormula>C17+C10</calculatedColumnFormula>
    </tableColumn>
    <tableColumn id="3" name="Fortinet FortiGate-1500D" dataDxfId="325" dataCellStyle="Input"/>
    <tableColumn id="4" name="HP TippingPoint S7500NX" dataDxfId="324" dataCellStyle="Input"/>
    <tableColumn id="9" name="IBM Security Network Protection XGS 5100" dataDxfId="323" dataCellStyle="Input"/>
    <tableColumn id="5" name="IBM Security Network Protection XGS 7100" dataDxfId="322" dataCellStyle="Input"/>
    <tableColumn id="6" name="Palo Alto Networks PA-5020" dataDxfId="321" dataCellStyle="Input"/>
  </tableColumns>
  <tableStyleInfo name="TableStyleLight9" showFirstColumn="0" showLastColumn="0" showRowStripes="1" showColumnStripes="0"/>
</table>
</file>

<file path=xl/tables/table55.xml><?xml version="1.0" encoding="utf-8"?>
<table xmlns="http://schemas.openxmlformats.org/spreadsheetml/2006/main" id="27" name="Calc_cost_per_dev5" displayName="Calc_cost_per_dev5" ref="B30:H33" totalsRowShown="0" headerRowDxfId="320" dataDxfId="319" tableBorderDxfId="318">
  <autoFilter ref="B30:H33"/>
  <tableColumns count="7">
    <tableColumn id="1" name="Running Totals" dataDxfId="317"/>
    <tableColumn id="2" name="Cisco FirePOWER 8350" dataDxfId="316" dataCellStyle="Input">
      <calculatedColumnFormula>C10+C24</calculatedColumnFormula>
    </tableColumn>
    <tableColumn id="3" name="Fortinet FortiGate-1500D" dataDxfId="315" dataCellStyle="Input"/>
    <tableColumn id="4" name="HP TippingPoint S7500NX" dataDxfId="314" dataCellStyle="Input"/>
    <tableColumn id="9" name="IBM Security Network Protection XGS 5100" dataDxfId="313" dataCellStyle="Input"/>
    <tableColumn id="5" name="IBM Security Network Protection XGS 7100" dataDxfId="312" dataCellStyle="Input"/>
    <tableColumn id="6" name="Palo Alto Networks PA-5020" dataDxfId="311" dataCellStyle="Input"/>
  </tableColumns>
  <tableStyleInfo name="TableStyleLight9" showFirstColumn="0" showLastColumn="0" showRowStripes="1" showColumnStripes="0"/>
</table>
</file>

<file path=xl/tables/table56.xml><?xml version="1.0" encoding="utf-8"?>
<table xmlns="http://schemas.openxmlformats.org/spreadsheetml/2006/main" id="38" name="Calc_cost_centm_table5" displayName="Calc_cost_centm_table5" ref="B30:H33" totalsRowShown="0" headerRowDxfId="310" dataDxfId="309" tableBorderDxfId="308">
  <autoFilter ref="B30:H33"/>
  <tableColumns count="7">
    <tableColumn id="1" name="Running Totals" dataDxfId="307"/>
    <tableColumn id="2" name="Cisco FirePOWER 8350" dataDxfId="306" dataCellStyle="Input">
      <calculatedColumnFormula>C10+C24</calculatedColumnFormula>
    </tableColumn>
    <tableColumn id="3" name="Fortinet FortiGate-1500D" dataDxfId="305" dataCellStyle="Input"/>
    <tableColumn id="4" name="HP TippingPoint S7500NX" dataDxfId="304" dataCellStyle="Input"/>
    <tableColumn id="9" name="IBM Security Network Protection XGS 5100" dataDxfId="303" dataCellStyle="Input"/>
    <tableColumn id="5" name="IBM Security Network Protection XGS 7100" dataDxfId="302" dataCellStyle="Input"/>
    <tableColumn id="6" name="Palo Alto Networks PA-5020" dataDxfId="301" dataCellStyle="Input"/>
  </tableColumns>
  <tableStyleInfo name="TableStyleLight9" showFirstColumn="0" showLastColumn="0" showRowStripes="1" showColumnStripes="0"/>
</table>
</file>

<file path=xl/tables/table57.xml><?xml version="1.0" encoding="utf-8"?>
<table xmlns="http://schemas.openxmlformats.org/spreadsheetml/2006/main" id="39" name="Calc_cost_centm_table3" displayName="Calc_cost_centm_table3" ref="B16:H19" totalsRowShown="0" headerRowDxfId="300" dataDxfId="299" tableBorderDxfId="298">
  <autoFilter ref="B16:H19"/>
  <tableColumns count="7">
    <tableColumn id="1" name="Annual Cost" dataDxfId="297"/>
    <tableColumn id="2" name="Cisco FirePOWER 8350" dataDxfId="296" dataCellStyle="Input"/>
    <tableColumn id="3" name="Fortinet FortiGate-1500D" dataDxfId="295" dataCellStyle="Input"/>
    <tableColumn id="4" name="HP TippingPoint S7500NX" dataDxfId="294" dataCellStyle="Input"/>
    <tableColumn id="9" name="IBM Security Network Protection XGS 5100" dataDxfId="293" dataCellStyle="Input"/>
    <tableColumn id="5" name="IBM Security Network Protection XGS 7100" dataDxfId="292" dataCellStyle="Input"/>
    <tableColumn id="6" name="Palo Alto Networks PA-5020" dataDxfId="291" dataCellStyle="Input"/>
  </tableColumns>
  <tableStyleInfo name="TableStyleLight9" showFirstColumn="0" showLastColumn="0" showRowStripes="1" showColumnStripes="0"/>
</table>
</file>

<file path=xl/tables/table58.xml><?xml version="1.0" encoding="utf-8"?>
<table xmlns="http://schemas.openxmlformats.org/spreadsheetml/2006/main" id="40" name="Calc_cost_centm_table1" displayName="Calc_cost_centm_table1" ref="B2:H5" totalsRowShown="0" headerRowDxfId="290" dataDxfId="289">
  <autoFilter ref="B2:H5"/>
  <tableColumns count="7">
    <tableColumn id="1" name="-" dataDxfId="288"/>
    <tableColumn id="2" name="Cisco FirePOWER 8350" dataDxfId="287"/>
    <tableColumn id="3" name="Fortinet FortiGate-1500D" dataDxfId="286"/>
    <tableColumn id="4" name="HP TippingPoint S7500NX" dataDxfId="285"/>
    <tableColumn id="9" name="IBM Security Network Protection XGS 5100" dataDxfId="284"/>
    <tableColumn id="5" name="IBM Security Network Protection XGS 7100" dataDxfId="283"/>
    <tableColumn id="6" name="Palo Alto Networks PA-5020" dataDxfId="282"/>
  </tableColumns>
  <tableStyleInfo name="TableStyleLight9" showFirstColumn="0" showLastColumn="0" showRowStripes="1" showColumnStripes="0"/>
</table>
</file>

<file path=xl/tables/table59.xml><?xml version="1.0" encoding="utf-8"?>
<table xmlns="http://schemas.openxmlformats.org/spreadsheetml/2006/main" id="41" name="Calc_cost_centm_table4" displayName="Calc_cost_centm_table4" ref="B23:H26" totalsRowShown="0" headerRowDxfId="281" dataDxfId="280" tableBorderDxfId="279">
  <autoFilter ref="B23:H26"/>
  <tableColumns count="7">
    <tableColumn id="1" name="Annual Cost" dataDxfId="278"/>
    <tableColumn id="2" name="Cisco FirePOWER 8350" dataDxfId="277" dataCellStyle="Input">
      <calculatedColumnFormula>HLOOKUP(Calc_cost_centm_table4[[#Headers],[Cisco FirePOWER 8350]],Inputs_table5[#All],5,FALSE)</calculatedColumnFormula>
    </tableColumn>
    <tableColumn id="3" name="Fortinet FortiGate-1500D" dataDxfId="276" dataCellStyle="Input"/>
    <tableColumn id="4" name="HP TippingPoint S7500NX" dataDxfId="275" dataCellStyle="Input"/>
    <tableColumn id="9" name="IBM Security Network Protection XGS 5100" dataDxfId="274" dataCellStyle="Input"/>
    <tableColumn id="5" name="IBM Security Network Protection XGS 7100" dataDxfId="273" dataCellStyle="Input"/>
    <tableColumn id="6" name="Palo Alto Networks PA-5020" dataDxfId="272" dataCellStyle="Input"/>
  </tableColumns>
  <tableStyleInfo name="TableStyleLight9" showFirstColumn="0" showLastColumn="0" showRowStripes="1" showColumnStripes="0"/>
</table>
</file>

<file path=xl/tables/table6.xml><?xml version="1.0" encoding="utf-8"?>
<table xmlns="http://schemas.openxmlformats.org/spreadsheetml/2006/main" id="2" name="Inputs_table6" displayName="Inputs_table6" ref="A37:H65" totalsRowShown="0" headerRowDxfId="817" dataDxfId="815" headerRowBorderDxfId="816" tableBorderDxfId="814" totalsRowBorderDxfId="813">
  <autoFilter ref="A37:H65"/>
  <tableColumns count="8">
    <tableColumn id="1" name="Description" dataDxfId="812"/>
    <tableColumn id="2" name="Scoring:" dataDxfId="811"/>
    <tableColumn id="3" name="Cisco FirePOWER 8350" dataDxfId="810" dataCellStyle="Percent"/>
    <tableColumn id="4" name="Fortinet FortiGate-1500D" dataDxfId="809" dataCellStyle="Percent"/>
    <tableColumn id="5" name="HP TippingPoint S7500NX" dataDxfId="808" dataCellStyle="Percent"/>
    <tableColumn id="10" name="IBM Security Network Protection XGS 5100" dataDxfId="807"/>
    <tableColumn id="6" name="IBM Security Network Protection XGS 7100" dataDxfId="806" dataCellStyle="Percent"/>
    <tableColumn id="7" name="Palo Alto Networks PA-5020" dataDxfId="805" dataCellStyle="Percent"/>
  </tableColumns>
  <tableStyleInfo name="TableStyleLight9" showFirstColumn="0" showLastColumn="0" showRowStripes="1" showColumnStripes="0"/>
</table>
</file>

<file path=xl/tables/table60.xml><?xml version="1.0" encoding="utf-8"?>
<table xmlns="http://schemas.openxmlformats.org/spreadsheetml/2006/main" id="42" name="Calc_cost_centm_table2" displayName="Calc_cost_centm_table2" ref="B9:H12" totalsRowShown="0" headerRowDxfId="271" dataDxfId="270" tableBorderDxfId="269">
  <autoFilter ref="B9:H12"/>
  <tableColumns count="7">
    <tableColumn id="1" name="Annual Cost" dataDxfId="268"/>
    <tableColumn id="2" name="Cisco FirePOWER 8350" dataDxfId="267" dataCellStyle="Input">
      <calculatedColumnFormula>(HLOOKUP(Calc_cost_centm_table2[[#Headers],[Cisco FirePOWER 8350]],Calc_cost_centm_table1[#All],2,FALSE)+HLOOKUP(Calc_cost_centm_table2[[#Headers],[Cisco FirePOWER 8350]],Calc_cost_centm_table1[#All],3,FALSE))+HLOOKUP(Calc_cost_centm_table2[[#Headers],[Cisco FirePOWER 8350]],Calc_cost_centm_table1[#All],4,FALSE)</calculatedColumnFormula>
    </tableColumn>
    <tableColumn id="3" name="Fortinet FortiGate-1500D" dataDxfId="266" dataCellStyle="Input"/>
    <tableColumn id="4" name="HP TippingPoint S7500NX" dataDxfId="265" dataCellStyle="Input"/>
    <tableColumn id="9" name="IBM Security Network Protection XGS 5100" dataDxfId="264" dataCellStyle="Input"/>
    <tableColumn id="5" name="IBM Security Network Protection XGS 7100" dataDxfId="263" dataCellStyle="Input"/>
    <tableColumn id="6" name="Palo Alto Networks PA-5020" dataDxfId="262" dataCellStyle="Input"/>
  </tableColumns>
  <tableStyleInfo name="TableStyleLight9" showFirstColumn="0" showLastColumn="0" showRowStripes="1" showColumnStripes="0"/>
</table>
</file>

<file path=xl/tables/table61.xml><?xml version="1.0" encoding="utf-8"?>
<table xmlns="http://schemas.openxmlformats.org/spreadsheetml/2006/main" id="4" name="Comb_scrd" displayName="Comb_scrd" ref="A1:H250" totalsRowShown="0" headerRowDxfId="261" dataDxfId="259" headerRowBorderDxfId="260" tableBorderDxfId="258" totalsRowBorderDxfId="257">
  <autoFilter ref="A1:H250"/>
  <tableColumns count="8">
    <tableColumn id="1" name="Test ID " dataDxfId="256"/>
    <tableColumn id="2" name="Description" dataDxfId="255"/>
    <tableColumn id="3" name="Cisco FirePOWER 8350" dataDxfId="254"/>
    <tableColumn id="4" name="Fortinet FortiGate-1500D" dataDxfId="253"/>
    <tableColumn id="5" name="HP TippingPoint S7500NX" dataDxfId="252"/>
    <tableColumn id="10" name="IBM Security Network Protection XGS 5100" dataDxfId="251"/>
    <tableColumn id="6" name="IBM Security Network Protection XGS 7100" dataDxfId="250"/>
    <tableColumn id="7" name="Palo Alto Networks PA-5020" dataDxfId="249"/>
  </tableColumns>
  <tableStyleInfo name="TableStyleLight9" showFirstColumn="0" showLastColumn="0" showRowStripes="1" showColumnStripes="0"/>
</table>
</file>

<file path=xl/tables/table62.xml><?xml version="1.0" encoding="utf-8"?>
<table xmlns="http://schemas.openxmlformats.org/spreadsheetml/2006/main" id="71" name="Mngt_scrd" displayName="Mngt_scrd" ref="A1:H5" totalsRowShown="0" headerRowDxfId="13" dataDxfId="12" tableBorderDxfId="248">
  <tableColumns count="8">
    <tableColumn id="1" name="Test ID" dataDxfId="21"/>
    <tableColumn id="2" name="Description" dataDxfId="20"/>
    <tableColumn id="3" name="Cisco FirePOWER 8350" dataDxfId="19"/>
    <tableColumn id="4" name="Fortinet FortiGate-1500D" dataDxfId="18"/>
    <tableColumn id="10" name="HP TippingPoint S7500NX" dataDxfId="17"/>
    <tableColumn id="6" name="IBM Security Network Protection XGS 5100" dataDxfId="16"/>
    <tableColumn id="5" name="IBM Security Network Protection XGS 7100" dataDxfId="15"/>
    <tableColumn id="7" name="Palo Alto Networks PA-5020" dataDxfId="14"/>
  </tableColumns>
  <tableStyleInfo name="TableStyleLight9" showFirstColumn="0" showLastColumn="0" showRowStripes="1" showColumnStripes="0"/>
</table>
</file>

<file path=xl/tables/table63.xml><?xml version="1.0" encoding="utf-8"?>
<table xmlns="http://schemas.openxmlformats.org/spreadsheetml/2006/main" id="6" name="PAR_scrd" displayName="PAR_scrd" ref="A1:H250" totalsRowShown="0" headerRowDxfId="3" dataDxfId="2">
  <autoFilter ref="A1:H250"/>
  <tableColumns count="8">
    <tableColumn id="1" name="Test ID " dataDxfId="11"/>
    <tableColumn id="2" name="Description" dataDxfId="10"/>
    <tableColumn id="3" name="Cisco FirePOWER 8350" dataDxfId="9"/>
    <tableColumn id="5" name="Fortinet FortiGate-1500D" dataDxfId="8"/>
    <tableColumn id="4" name="HP TippingPoint S7500NX" dataDxfId="7"/>
    <tableColumn id="7" name="IBM Security Network Protection XGS 5100" dataDxfId="6"/>
    <tableColumn id="15" name="IBM Security Network Protection XGS 7100" dataDxfId="5"/>
    <tableColumn id="6" name="Palo Alto Networks PA-5020" dataDxfId="4"/>
  </tableColumns>
  <tableStyleInfo name="TableStyleLight9" showFirstColumn="0" showLastColumn="0" showRowStripes="1" showColumnStripes="0"/>
</table>
</file>

<file path=xl/tables/table7.xml><?xml version="1.0" encoding="utf-8"?>
<table xmlns="http://schemas.openxmlformats.org/spreadsheetml/2006/main" id="67" name="SVM_Table2" displayName="SVM_Table2" ref="L48:T54" totalsRowShown="0" headerRowDxfId="804" dataDxfId="802" headerRowBorderDxfId="803" tableBorderDxfId="801" totalsRowBorderDxfId="800">
  <sortState ref="L56:W64">
    <sortCondition ref="Q67:Q75"/>
  </sortState>
  <tableColumns count="9">
    <tableColumn id="2" name="Product" dataDxfId="799"/>
    <tableColumn id="3" name="3-Year TCO" dataDxfId="798" dataCellStyle="Currency">
      <calculatedColumnFormula>HLOOKUP(SVM_Table2[Product],Calc_results_table5[#All],4,FALSE)</calculatedColumnFormula>
    </tableColumn>
    <tableColumn id="4" name="NSS-Tested Throughput (Mbps)" dataDxfId="797" dataCellStyle="Comma">
      <calculatedColumnFormula>VLOOKUP(SVM_Table2[[#This Row],[Product]],Perf_table1[#All],2,FALSE)</calculatedColumnFormula>
    </tableColumn>
    <tableColumn id="5" name="Block Rate" dataDxfId="796" dataCellStyle="Percent">
      <calculatedColumnFormula>VLOOKUP(SVM_Table2[[#This Row],[Product]],TCO_Calc_table4[#All],4,FALSE)</calculatedColumnFormula>
    </tableColumn>
    <tableColumn id="6" name="TCO PerProtected Mbps" dataDxfId="795" dataCellStyle="Currency">
      <calculatedColumnFormula>ROUND((SVM_Table2[[#This Row],[3-Year TCO]]/(SVM_Table2[[#This Row],[Block Rate]]*SVM_Table2[[#This Row],[NSS-Tested Throughput (Mbps)]]))/SVM!$M$2,0)</calculatedColumnFormula>
    </tableColumn>
    <tableColumn id="7" name="Evasions" dataDxfId="1" dataCellStyle="Percent">
      <calculatedColumnFormula>HLOOKUP(SVM_Table2[[#This Row],[Product]],Inputs_table6[#All],2,FALSE)</calculatedColumnFormula>
    </tableColumn>
    <tableColumn id="9" name="Stability &amp; Reliability" dataDxfId="0" dataCellStyle="Percent">
      <calculatedColumnFormula>HLOOKUP(SVM_Table2[[#This Row],[Product]],Inputs_table6[#All],17,FALSE)</calculatedColumnFormula>
    </tableColumn>
    <tableColumn id="13" name="Security Effectiveness" dataDxfId="794" dataCellStyle="Percent">
      <calculatedColumnFormula>SVM_Table2[[#This Row],[Block Rate]]*SVM_Table2[[#This Row],[Evasions]]*SVM_Table2[[#This Row],[Stability &amp; Reliability]]</calculatedColumnFormula>
    </tableColumn>
    <tableColumn id="11" name="Overall TCO Per Protected Mbps" dataDxfId="793" dataCellStyle="Currency">
      <calculatedColumnFormula>ROUND((SVM_Table2[[#This Row],[3-Year TCO]]/(SVM_Table2[[#This Row],[Security Effectiveness]]*SVM_Table2[[#This Row],[NSS-Tested Throughput (Mbps)]]))/SVM!$M$2,0)</calculatedColumnFormula>
    </tableColumn>
  </tableColumns>
  <tableStyleInfo name="TableStyleLight9" showFirstColumn="0" showLastColumn="0" showRowStripes="1" showColumnStripes="0"/>
</table>
</file>

<file path=xl/tables/table8.xml><?xml version="1.0" encoding="utf-8"?>
<table xmlns="http://schemas.openxmlformats.org/spreadsheetml/2006/main" id="7" name="SVM_Table1" displayName="SVM_Table1" ref="B48:J54" totalsRowShown="0" headerRowDxfId="792" dataDxfId="790" headerRowBorderDxfId="791" tableBorderDxfId="789" totalsRowBorderDxfId="788">
  <tableColumns count="9">
    <tableColumn id="2" name="Product" dataDxfId="787"/>
    <tableColumn id="3" name="3-Year TCO" dataDxfId="786" dataCellStyle="Currency"/>
    <tableColumn id="4" name="NSS-Tested Throughput (Mbps)" dataDxfId="785" dataCellStyle="Comma"/>
    <tableColumn id="5" name="Block Rate" dataDxfId="784" dataCellStyle="Percent"/>
    <tableColumn id="6" name="TCO Per Protected Mbps" dataDxfId="783" dataCellStyle="Currency"/>
    <tableColumn id="7" name="Evasions" dataDxfId="215" dataCellStyle="Percent"/>
    <tableColumn id="9" name="Stability &amp; Reliability" dataDxfId="214" dataCellStyle="Percent"/>
    <tableColumn id="13" name="Security Effectiveness" dataDxfId="782" dataCellStyle="Percent"/>
    <tableColumn id="11" name="Overall TCO Per Protected Mbps" dataDxfId="781" dataCellStyle="Currency"/>
  </tableColumns>
  <tableStyleInfo name="TableStyleLight9" showFirstColumn="0" showLastColumn="0" showRowStripes="1" showColumnStripes="0"/>
</table>
</file>

<file path=xl/tables/table9.xml><?xml version="1.0" encoding="utf-8"?>
<table xmlns="http://schemas.openxmlformats.org/spreadsheetml/2006/main" id="37" name="IPS_security_table2" displayName="IPS_security_table2" ref="B12:E18" totalsRowShown="0" headerRowDxfId="780" dataDxfId="779">
  <autoFilter ref="B12:E18"/>
  <sortState ref="B19:E33">
    <sortCondition ref="B2:B17"/>
  </sortState>
  <tableColumns count="4">
    <tableColumn id="1" name="Product" dataDxfId="778"/>
    <tableColumn id="2" name="Attacker Initiated" dataDxfId="777" dataCellStyle="Percent">
      <calculatedColumnFormula>HLOOKUP(IPS_security_table2[[#This Row],[Product]],Comb_scrd[#All],7,FALSE)</calculatedColumnFormula>
    </tableColumn>
    <tableColumn id="3" name="Target Initiated" dataDxfId="776" dataCellStyle="Percent">
      <calculatedColumnFormula>HLOOKUP(IPS_security_table2[[#This Row],[Product]],Comb_scrd[#All],8,FALSE)</calculatedColumnFormula>
    </tableColumn>
    <tableColumn id="4" name="Overall Block Rate" dataDxfId="775" dataCellStyle="Percent">
      <calculatedColumnFormula>HLOOKUP(IPS_security_table2[[#This Row],[Product]],Comb_scrd[#All],9,FALSE)</calculatedColumnFormula>
    </tableColumn>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58.xml"/><Relationship Id="rId2" Type="http://schemas.openxmlformats.org/officeDocument/2006/relationships/table" Target="../tables/table57.xml"/><Relationship Id="rId1" Type="http://schemas.openxmlformats.org/officeDocument/2006/relationships/table" Target="../tables/table56.xml"/><Relationship Id="rId5" Type="http://schemas.openxmlformats.org/officeDocument/2006/relationships/table" Target="../tables/table60.xml"/><Relationship Id="rId4" Type="http://schemas.openxmlformats.org/officeDocument/2006/relationships/table" Target="../tables/table59.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61.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62.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63.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nsslabs.com/" TargetMode="External"/><Relationship Id="rId1" Type="http://schemas.openxmlformats.org/officeDocument/2006/relationships/hyperlink" Target="mailto:info@nsslabs.com"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table" Target="../tables/table8.xml"/></Relationships>
</file>

<file path=xl/worksheets/_rels/sheet5.xml.rels><?xml version="1.0" encoding="UTF-8" standalone="yes"?>
<Relationships xmlns="http://schemas.openxmlformats.org/package/2006/relationships"><Relationship Id="rId8" Type="http://schemas.openxmlformats.org/officeDocument/2006/relationships/table" Target="../tables/table14.xml"/><Relationship Id="rId13" Type="http://schemas.openxmlformats.org/officeDocument/2006/relationships/table" Target="../tables/table19.xml"/><Relationship Id="rId3" Type="http://schemas.openxmlformats.org/officeDocument/2006/relationships/table" Target="../tables/table9.xml"/><Relationship Id="rId7" Type="http://schemas.openxmlformats.org/officeDocument/2006/relationships/table" Target="../tables/table13.xml"/><Relationship Id="rId12" Type="http://schemas.openxmlformats.org/officeDocument/2006/relationships/table" Target="../tables/table18.xml"/><Relationship Id="rId17" Type="http://schemas.openxmlformats.org/officeDocument/2006/relationships/table" Target="../tables/table23.xml"/><Relationship Id="rId2" Type="http://schemas.openxmlformats.org/officeDocument/2006/relationships/drawing" Target="../drawings/drawing4.xml"/><Relationship Id="rId16" Type="http://schemas.openxmlformats.org/officeDocument/2006/relationships/table" Target="../tables/table22.xml"/><Relationship Id="rId1" Type="http://schemas.openxmlformats.org/officeDocument/2006/relationships/printerSettings" Target="../printerSettings/printerSettings4.bin"/><Relationship Id="rId6" Type="http://schemas.openxmlformats.org/officeDocument/2006/relationships/table" Target="../tables/table12.xml"/><Relationship Id="rId11" Type="http://schemas.openxmlformats.org/officeDocument/2006/relationships/table" Target="../tables/table17.xml"/><Relationship Id="rId5" Type="http://schemas.openxmlformats.org/officeDocument/2006/relationships/table" Target="../tables/table11.xml"/><Relationship Id="rId15" Type="http://schemas.openxmlformats.org/officeDocument/2006/relationships/table" Target="../tables/table21.xml"/><Relationship Id="rId10" Type="http://schemas.openxmlformats.org/officeDocument/2006/relationships/table" Target="../tables/table16.xml"/><Relationship Id="rId4" Type="http://schemas.openxmlformats.org/officeDocument/2006/relationships/table" Target="../tables/table10.xml"/><Relationship Id="rId9" Type="http://schemas.openxmlformats.org/officeDocument/2006/relationships/table" Target="../tables/table15.xml"/><Relationship Id="rId14" Type="http://schemas.openxmlformats.org/officeDocument/2006/relationships/table" Target="../tables/table20.xml"/></Relationships>
</file>

<file path=xl/worksheets/_rels/sheet6.xml.rels><?xml version="1.0" encoding="UTF-8" standalone="yes"?>
<Relationships xmlns="http://schemas.openxmlformats.org/package/2006/relationships"><Relationship Id="rId8" Type="http://schemas.openxmlformats.org/officeDocument/2006/relationships/table" Target="../tables/table30.xml"/><Relationship Id="rId13" Type="http://schemas.openxmlformats.org/officeDocument/2006/relationships/table" Target="../tables/table35.xml"/><Relationship Id="rId3" Type="http://schemas.openxmlformats.org/officeDocument/2006/relationships/table" Target="../tables/table25.xml"/><Relationship Id="rId7" Type="http://schemas.openxmlformats.org/officeDocument/2006/relationships/table" Target="../tables/table29.xml"/><Relationship Id="rId12" Type="http://schemas.openxmlformats.org/officeDocument/2006/relationships/table" Target="../tables/table34.xml"/><Relationship Id="rId17" Type="http://schemas.openxmlformats.org/officeDocument/2006/relationships/table" Target="../tables/table39.xml"/><Relationship Id="rId2" Type="http://schemas.openxmlformats.org/officeDocument/2006/relationships/table" Target="../tables/table24.xml"/><Relationship Id="rId16" Type="http://schemas.openxmlformats.org/officeDocument/2006/relationships/table" Target="../tables/table38.xml"/><Relationship Id="rId1" Type="http://schemas.openxmlformats.org/officeDocument/2006/relationships/printerSettings" Target="../printerSettings/printerSettings5.bin"/><Relationship Id="rId6" Type="http://schemas.openxmlformats.org/officeDocument/2006/relationships/table" Target="../tables/table28.xml"/><Relationship Id="rId11" Type="http://schemas.openxmlformats.org/officeDocument/2006/relationships/table" Target="../tables/table33.xml"/><Relationship Id="rId5" Type="http://schemas.openxmlformats.org/officeDocument/2006/relationships/table" Target="../tables/table27.xml"/><Relationship Id="rId15" Type="http://schemas.openxmlformats.org/officeDocument/2006/relationships/table" Target="../tables/table37.xml"/><Relationship Id="rId10" Type="http://schemas.openxmlformats.org/officeDocument/2006/relationships/table" Target="../tables/table32.xml"/><Relationship Id="rId4" Type="http://schemas.openxmlformats.org/officeDocument/2006/relationships/table" Target="../tables/table26.xml"/><Relationship Id="rId9" Type="http://schemas.openxmlformats.org/officeDocument/2006/relationships/table" Target="../tables/table31.xml"/><Relationship Id="rId14" Type="http://schemas.openxmlformats.org/officeDocument/2006/relationships/table" Target="../tables/table36.xml"/></Relationships>
</file>

<file path=xl/worksheets/_rels/sheet7.xml.rels><?xml version="1.0" encoding="UTF-8" standalone="yes"?>
<Relationships xmlns="http://schemas.openxmlformats.org/package/2006/relationships"><Relationship Id="rId8" Type="http://schemas.openxmlformats.org/officeDocument/2006/relationships/table" Target="../tables/table45.xml"/><Relationship Id="rId3" Type="http://schemas.openxmlformats.org/officeDocument/2006/relationships/table" Target="../tables/table40.xml"/><Relationship Id="rId7" Type="http://schemas.openxmlformats.org/officeDocument/2006/relationships/table" Target="../tables/table44.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table" Target="../tables/table43.xml"/><Relationship Id="rId5" Type="http://schemas.openxmlformats.org/officeDocument/2006/relationships/table" Target="../tables/table42.xml"/><Relationship Id="rId4" Type="http://schemas.openxmlformats.org/officeDocument/2006/relationships/table" Target="../tables/table41.xml"/></Relationships>
</file>

<file path=xl/worksheets/_rels/sheet8.xml.rels><?xml version="1.0" encoding="UTF-8" standalone="yes"?>
<Relationships xmlns="http://schemas.openxmlformats.org/package/2006/relationships"><Relationship Id="rId3" Type="http://schemas.openxmlformats.org/officeDocument/2006/relationships/table" Target="../tables/table48.xml"/><Relationship Id="rId2" Type="http://schemas.openxmlformats.org/officeDocument/2006/relationships/table" Target="../tables/table47.xml"/><Relationship Id="rId1" Type="http://schemas.openxmlformats.org/officeDocument/2006/relationships/table" Target="../tables/table46.xml"/><Relationship Id="rId5" Type="http://schemas.openxmlformats.org/officeDocument/2006/relationships/table" Target="../tables/table50.xml"/><Relationship Id="rId4" Type="http://schemas.openxmlformats.org/officeDocument/2006/relationships/table" Target="../tables/table49.xml"/></Relationships>
</file>

<file path=xl/worksheets/_rels/sheet9.xml.rels><?xml version="1.0" encoding="UTF-8" standalone="yes"?>
<Relationships xmlns="http://schemas.openxmlformats.org/package/2006/relationships"><Relationship Id="rId3" Type="http://schemas.openxmlformats.org/officeDocument/2006/relationships/table" Target="../tables/table53.xml"/><Relationship Id="rId2" Type="http://schemas.openxmlformats.org/officeDocument/2006/relationships/table" Target="../tables/table52.xml"/><Relationship Id="rId1" Type="http://schemas.openxmlformats.org/officeDocument/2006/relationships/table" Target="../tables/table51.xml"/><Relationship Id="rId5" Type="http://schemas.openxmlformats.org/officeDocument/2006/relationships/table" Target="../tables/table55.xml"/><Relationship Id="rId4" Type="http://schemas.openxmlformats.org/officeDocument/2006/relationships/table" Target="../tables/table5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D17"/>
  <sheetViews>
    <sheetView showGridLines="0" topLeftCell="B1" workbookViewId="0">
      <selection activeCell="E4" sqref="E4"/>
    </sheetView>
  </sheetViews>
  <sheetFormatPr defaultColWidth="8.85546875" defaultRowHeight="15"/>
  <cols>
    <col min="1" max="2" width="8.85546875" style="1"/>
    <col min="3" max="3" width="30.42578125" style="1" bestFit="1" customWidth="1"/>
    <col min="4" max="16384" width="8.85546875" style="1"/>
  </cols>
  <sheetData>
    <row r="5" spans="1:4" ht="27">
      <c r="C5" s="2" t="s">
        <v>81</v>
      </c>
    </row>
    <row r="6" spans="1:4" ht="18.75">
      <c r="C6" s="3">
        <v>42114</v>
      </c>
    </row>
    <row r="7" spans="1:4" ht="15.75">
      <c r="C7" s="4"/>
    </row>
    <row r="8" spans="1:4" ht="15.75">
      <c r="B8" s="4"/>
      <c r="C8" s="4" t="str">
        <f>Comb_scrd[[#Headers],[Cisco FirePOWER 8350]]</f>
        <v>Cisco FirePOWER 8350</v>
      </c>
      <c r="D8" s="4"/>
    </row>
    <row r="9" spans="1:4" ht="15.75">
      <c r="B9" s="4"/>
      <c r="C9" s="4" t="str">
        <f>Comb_scrd[[#Headers],[Fortinet FortiGate-1500D]]</f>
        <v>Fortinet FortiGate-1500D</v>
      </c>
      <c r="D9" s="4"/>
    </row>
    <row r="10" spans="1:4" ht="15.75">
      <c r="B10" s="4"/>
      <c r="C10" s="4" t="str">
        <f>Comb_scrd[[#Headers],[HP TippingPoint S7500NX]]</f>
        <v>HP TippingPoint S7500NX</v>
      </c>
      <c r="D10" s="4"/>
    </row>
    <row r="11" spans="1:4" ht="15.75">
      <c r="B11" s="4"/>
      <c r="C11" s="4" t="str">
        <f>Comb_scrd[[#Headers],[IBM Security Network Protection XGS 5100]]</f>
        <v>IBM Security Network Protection XGS 5100</v>
      </c>
      <c r="D11" s="4"/>
    </row>
    <row r="12" spans="1:4" ht="15.75">
      <c r="B12" s="4"/>
      <c r="C12" s="4" t="str">
        <f>Comb_scrd[[#Headers],[IBM Security Network Protection XGS 7100]]</f>
        <v>IBM Security Network Protection XGS 7100</v>
      </c>
      <c r="D12" s="4"/>
    </row>
    <row r="13" spans="1:4" ht="15.75">
      <c r="B13" s="4"/>
      <c r="C13" s="4" t="str">
        <f>Comb_scrd[[#Headers],[Palo Alto Networks PA-5020]]</f>
        <v>Palo Alto Networks PA-5020</v>
      </c>
      <c r="D13" s="4"/>
    </row>
    <row r="14" spans="1:4" ht="15.75">
      <c r="B14" s="4"/>
      <c r="C14" s="4"/>
      <c r="D14" s="4"/>
    </row>
    <row r="15" spans="1:4" ht="27">
      <c r="A15" s="5"/>
      <c r="B15" s="4"/>
      <c r="C15" s="6" t="s">
        <v>80</v>
      </c>
      <c r="D15" s="4"/>
    </row>
    <row r="16" spans="1:4" ht="15.75">
      <c r="B16" s="4"/>
      <c r="C16" s="6" t="s">
        <v>82</v>
      </c>
      <c r="D16" s="4"/>
    </row>
    <row r="17" spans="3:3">
      <c r="C17" s="7"/>
    </row>
  </sheetData>
  <sheetProtection algorithmName="SHA-512" hashValue="6b3AxjeKOZZ2qQOKxeyJ8+/OOcq7b0stS+egM7aZxvv7npvlhlmBrajVctobkI+r1ud1X97R/S6KUxRBnQ5aDg==" saltValue="eCNi9fLpSswZyB0zlOhfOg==" spinCount="100000" sheet="1" objects="1" scenarios="1"/>
  <sortState ref="C8:C19">
    <sortCondition ref="C8"/>
  </sortState>
  <phoneticPr fontId="11" type="noConversion"/>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election activeCell="C30" sqref="C30:H30"/>
    </sheetView>
  </sheetViews>
  <sheetFormatPr defaultColWidth="10.85546875" defaultRowHeight="12"/>
  <cols>
    <col min="1" max="1" width="10.85546875" style="133"/>
    <col min="2" max="2" width="57.28515625" style="133" bestFit="1" customWidth="1"/>
    <col min="3" max="3" width="22.140625" style="133" bestFit="1" customWidth="1"/>
    <col min="4" max="4" width="23.7109375" style="133" bestFit="1" customWidth="1"/>
    <col min="5" max="5" width="27.5703125" style="133" bestFit="1" customWidth="1"/>
    <col min="6" max="7" width="12.140625" style="133" bestFit="1" customWidth="1"/>
    <col min="8" max="8" width="30.85546875" style="143" bestFit="1" customWidth="1"/>
    <col min="9" max="9" width="41.42578125" style="133" bestFit="1" customWidth="1"/>
    <col min="10" max="10" width="28" style="133" bestFit="1" customWidth="1"/>
    <col min="11" max="11" width="31.42578125" style="133" bestFit="1" customWidth="1"/>
    <col min="12" max="12" width="33.7109375" style="133" bestFit="1" customWidth="1"/>
    <col min="13" max="13" width="31.5703125" style="133" bestFit="1" customWidth="1"/>
    <col min="14" max="14" width="27.7109375" style="133" bestFit="1" customWidth="1"/>
    <col min="15" max="16384" width="10.85546875" style="133"/>
  </cols>
  <sheetData>
    <row r="1" spans="1:14">
      <c r="B1" s="286" t="s">
        <v>98</v>
      </c>
    </row>
    <row r="2" spans="1:14" ht="17.100000000000001" customHeight="1">
      <c r="A2" s="139" t="s">
        <v>425</v>
      </c>
      <c r="B2" s="143" t="s">
        <v>86</v>
      </c>
      <c r="C2" s="206" t="s">
        <v>701</v>
      </c>
      <c r="D2" s="206" t="s">
        <v>700</v>
      </c>
      <c r="E2" s="206" t="s">
        <v>698</v>
      </c>
      <c r="F2" s="206" t="s">
        <v>716</v>
      </c>
      <c r="G2" s="206" t="s">
        <v>717</v>
      </c>
      <c r="H2" s="206" t="s">
        <v>699</v>
      </c>
    </row>
    <row r="3" spans="1:14">
      <c r="B3" s="290" t="s">
        <v>83</v>
      </c>
      <c r="C3" s="287">
        <f>(HLOOKUP(Calc_cost_centm_table1[[#Headers],[Cisco FirePOWER 8350]],Inputs_table4[#All],2,FALSE))*HLOOKUP(Calc_cost_centm_table1[[#Headers],[Cisco FirePOWER 8350]],Inputs_table2[#All],2,FALSE)</f>
        <v>0</v>
      </c>
      <c r="D3" s="287">
        <f>(HLOOKUP(Calc_cost_centm_table1[[#Headers],[Fortinet FortiGate-1500D]],Inputs_table4[#All],2,FALSE))*HLOOKUP(Calc_cost_centm_table1[[#Headers],[Fortinet FortiGate-1500D]],Inputs_table2[#All],2,FALSE)</f>
        <v>0</v>
      </c>
      <c r="E3" s="287">
        <f>(HLOOKUP(Calc_cost_centm_table1[[#Headers],[HP TippingPoint S7500NX]],Inputs_table4[#All],2,FALSE))*HLOOKUP(Calc_cost_centm_table1[[#Headers],[HP TippingPoint S7500NX]],Inputs_table2[#All],2,FALSE)</f>
        <v>0</v>
      </c>
      <c r="F3" s="287">
        <f>(HLOOKUP(Calc_cost_centm_table1[[#Headers],[IBM Security Network Protection XGS 5100]],Inputs_table4[#All],2,FALSE))*HLOOKUP(Calc_cost_centm_table1[[#Headers],[IBM Security Network Protection XGS 5100]],Inputs_table2[#All],2,FALSE)</f>
        <v>0</v>
      </c>
      <c r="G3" s="287">
        <f>(HLOOKUP(Calc_cost_centm_table1[[#Headers],[IBM Security Network Protection XGS 7100]],Inputs_table4[#All],2,FALSE))*HLOOKUP(Calc_cost_centm_table1[[#Headers],[IBM Security Network Protection XGS 7100]],Inputs_table2[#All],2,FALSE)</f>
        <v>0</v>
      </c>
      <c r="H3" s="287">
        <f>(HLOOKUP(Calc_cost_centm_table1[[#Headers],[Palo Alto Networks PA-5020]],Inputs_table4[#All],2,FALSE))*HLOOKUP(Calc_cost_centm_table1[[#Headers],[Palo Alto Networks PA-5020]],Inputs_table2[#All],2,FALSE)</f>
        <v>0</v>
      </c>
    </row>
    <row r="4" spans="1:14">
      <c r="B4" s="290" t="s">
        <v>92</v>
      </c>
      <c r="C4" s="287">
        <f>(HLOOKUP(Calc_cost_centm_table1[[#Headers],[Cisco FirePOWER 8350]],Inputs_table4[#All],3,FALSE))*HLOOKUP(Calc_cost_centm_table1[[#Headers],[Cisco FirePOWER 8350]],Inputs_table2[#All],2,FALSE)</f>
        <v>0</v>
      </c>
      <c r="D4" s="287">
        <f>(HLOOKUP(Calc_cost_centm_table1[[#Headers],[Fortinet FortiGate-1500D]],Inputs_table4[#All],3,FALSE))*HLOOKUP(Calc_cost_centm_table1[[#Headers],[Fortinet FortiGate-1500D]],Inputs_table2[#All],2,FALSE)</f>
        <v>0</v>
      </c>
      <c r="E4" s="287">
        <f>(HLOOKUP(Calc_cost_centm_table1[[#Headers],[HP TippingPoint S7500NX]],Inputs_table4[#All],3,FALSE))*HLOOKUP(Calc_cost_centm_table1[[#Headers],[HP TippingPoint S7500NX]],Inputs_table2[#All],2,FALSE)</f>
        <v>0</v>
      </c>
      <c r="F4" s="287">
        <f>(HLOOKUP(Calc_cost_centm_table1[[#Headers],[IBM Security Network Protection XGS 5100]],Inputs_table4[#All],3,FALSE))*HLOOKUP(Calc_cost_centm_table1[[#Headers],[IBM Security Network Protection XGS 5100]],Inputs_table2[#All],2,FALSE)</f>
        <v>0</v>
      </c>
      <c r="G4" s="287">
        <f>(HLOOKUP(Calc_cost_centm_table1[[#Headers],[IBM Security Network Protection XGS 7100]],Inputs_table4[#All],3,FALSE))*HLOOKUP(Calc_cost_centm_table1[[#Headers],[IBM Security Network Protection XGS 7100]],Inputs_table2[#All],2,FALSE)</f>
        <v>0</v>
      </c>
      <c r="H4" s="287">
        <f>(HLOOKUP(Calc_cost_centm_table1[[#Headers],[Palo Alto Networks PA-5020]],Inputs_table4[#All],3,FALSE))*HLOOKUP(Calc_cost_centm_table1[[#Headers],[Palo Alto Networks PA-5020]],Inputs_table2[#All],2,FALSE)</f>
        <v>0</v>
      </c>
    </row>
    <row r="5" spans="1:14">
      <c r="B5" s="291" t="s">
        <v>151</v>
      </c>
      <c r="C5" s="287">
        <f>(HLOOKUP(Calc_cost_per_dev_table1[[#Headers],[Cisco FirePOWER 8350]],Inputs_table4[#All],4,FALSE))*HLOOKUP(Calc_cost_per_dev_table1[[#Headers],[Cisco FirePOWER 8350]],Inputs_table2[#All],2,FALSE)</f>
        <v>0</v>
      </c>
      <c r="D5" s="287">
        <f>(HLOOKUP(Calc_cost_per_dev_table1[[#Headers],[Fortinet FortiGate-1500D]],Inputs_table4[#All],4,FALSE))*HLOOKUP(Calc_cost_per_dev_table1[[#Headers],[Fortinet FortiGate-1500D]],Inputs_table2[#All],2,FALSE)</f>
        <v>0</v>
      </c>
      <c r="E5" s="287">
        <f>(HLOOKUP(Calc_cost_per_dev_table1[[#Headers],[HP TippingPoint S7500NX]],Inputs_table4[#All],4,FALSE))*HLOOKUP(Calc_cost_per_dev_table1[[#Headers],[HP TippingPoint S7500NX]],Inputs_table2[#All],2,FALSE)</f>
        <v>0</v>
      </c>
      <c r="F5" s="287">
        <f>(HLOOKUP(Calc_cost_per_dev_table1[[#Headers],[IBM Security Network Protection XGS 5100]],Inputs_table4[#All],4,FALSE))*HLOOKUP(Calc_cost_per_dev_table1[[#Headers],[IBM Security Network Protection XGS 5100]],Inputs_table2[#All],2,FALSE)</f>
        <v>0</v>
      </c>
      <c r="G5" s="287">
        <f>(HLOOKUP(Calc_cost_per_dev_table1[[#Headers],[IBM Security Network Protection XGS 7100]],Inputs_table4[#All],4,FALSE))*HLOOKUP(Calc_cost_per_dev_table1[[#Headers],[IBM Security Network Protection XGS 7100]],Inputs_table2[#All],2,FALSE)</f>
        <v>0</v>
      </c>
      <c r="H5" s="287">
        <f>(HLOOKUP(Calc_cost_per_dev_table1[[#Headers],[Palo Alto Networks PA-5020]],Inputs_table4[#All],4,FALSE))*HLOOKUP(Calc_cost_per_dev_table1[[#Headers],[Palo Alto Networks PA-5020]],Inputs_table2[#All],2,FALSE)</f>
        <v>0</v>
      </c>
    </row>
    <row r="8" spans="1:14">
      <c r="B8" s="286" t="s">
        <v>100</v>
      </c>
      <c r="C8" s="292"/>
      <c r="D8" s="292"/>
      <c r="E8" s="292"/>
      <c r="F8" s="292"/>
      <c r="G8" s="292"/>
      <c r="H8" s="144"/>
      <c r="I8" s="292"/>
    </row>
    <row r="9" spans="1:14" ht="20.100000000000001" customHeight="1">
      <c r="A9" s="139" t="s">
        <v>426</v>
      </c>
      <c r="B9" s="293" t="s">
        <v>93</v>
      </c>
      <c r="C9" s="206" t="s">
        <v>701</v>
      </c>
      <c r="D9" s="206" t="s">
        <v>700</v>
      </c>
      <c r="E9" s="206" t="s">
        <v>698</v>
      </c>
      <c r="F9" s="206" t="s">
        <v>716</v>
      </c>
      <c r="G9" s="206" t="s">
        <v>717</v>
      </c>
      <c r="H9" s="206" t="s">
        <v>699</v>
      </c>
    </row>
    <row r="10" spans="1:14">
      <c r="B10" s="294" t="s">
        <v>67</v>
      </c>
      <c r="C10" s="287">
        <f>(HLOOKUP(Calc_cost_centm_table2[[#Headers],[Cisco FirePOWER 8350]],Calc_cost_centm_table1[#All],2,FALSE)+HLOOKUP(Calc_cost_centm_table2[[#Headers],[Cisco FirePOWER 8350]],Calc_cost_centm_table1[#All],3,FALSE))+HLOOKUP(Calc_cost_centm_table2[[#Headers],[Cisco FirePOWER 8350]],Calc_cost_centm_table1[#All],4,FALSE)</f>
        <v>0</v>
      </c>
      <c r="D10" s="287">
        <f>(HLOOKUP(Calc_cost_centm_table2[[#Headers],[Fortinet FortiGate-1500D]],Calc_cost_centm_table1[#All],2,FALSE)+HLOOKUP(Calc_cost_centm_table2[[#Headers],[Fortinet FortiGate-1500D]],Calc_cost_centm_table1[#All],3,FALSE))+HLOOKUP(Calc_cost_centm_table2[[#Headers],[Fortinet FortiGate-1500D]],Calc_cost_centm_table1[#All],4,FALSE)</f>
        <v>0</v>
      </c>
      <c r="E10" s="287">
        <f>(HLOOKUP(Calc_cost_centm_table2[[#Headers],[HP TippingPoint S7500NX]],Calc_cost_centm_table1[#All],2,FALSE)+HLOOKUP(Calc_cost_centm_table2[[#Headers],[HP TippingPoint S7500NX]],Calc_cost_centm_table1[#All],3,FALSE))+HLOOKUP(Calc_cost_centm_table2[[#Headers],[HP TippingPoint S7500NX]],Calc_cost_centm_table1[#All],4,FALSE)</f>
        <v>0</v>
      </c>
      <c r="F10" s="287">
        <f>(HLOOKUP(Calc_cost_centm_table2[[#Headers],[IBM Security Network Protection XGS 5100]],Calc_cost_centm_table1[#All],2,FALSE)+HLOOKUP(Calc_cost_centm_table2[[#Headers],[IBM Security Network Protection XGS 5100]],Calc_cost_centm_table1[#All],3,FALSE))+HLOOKUP(Calc_cost_centm_table2[[#Headers],[IBM Security Network Protection XGS 5100]],Calc_cost_centm_table1[#All],4,FALSE)</f>
        <v>0</v>
      </c>
      <c r="G10" s="287">
        <f>(HLOOKUP(Calc_cost_centm_table2[[#Headers],[IBM Security Network Protection XGS 7100]],Calc_cost_centm_table1[#All],2,FALSE)+HLOOKUP(Calc_cost_centm_table2[[#Headers],[IBM Security Network Protection XGS 7100]],Calc_cost_centm_table1[#All],3,FALSE))+HLOOKUP(Calc_cost_centm_table2[[#Headers],[IBM Security Network Protection XGS 7100]],Calc_cost_centm_table1[#All],4,FALSE)</f>
        <v>0</v>
      </c>
      <c r="H10" s="287">
        <f>(HLOOKUP(Calc_cost_centm_table2[[#Headers],[Palo Alto Networks PA-5020]],Calc_cost_centm_table1[#All],2,FALSE)+HLOOKUP(Calc_cost_centm_table2[[#Headers],[Palo Alto Networks PA-5020]],Calc_cost_centm_table1[#All],3,FALSE))+HLOOKUP(Calc_cost_centm_table2[[#Headers],[Palo Alto Networks PA-5020]],Calc_cost_centm_table1[#All],4,FALSE)</f>
        <v>0</v>
      </c>
    </row>
    <row r="11" spans="1:14">
      <c r="B11" s="294" t="s">
        <v>69</v>
      </c>
      <c r="C11" s="287">
        <f>(HLOOKUP(Calc_cost_centm_table2[[#Headers],[Cisco FirePOWER 8350]],Calc_cost_centm_table1[#All],3,FALSE))+HLOOKUP(Calc_cost_centm_table2[[#Headers],[Cisco FirePOWER 8350]],Calc_cost_centm_table1[#All],4,FALSE)</f>
        <v>0</v>
      </c>
      <c r="D11" s="287">
        <f>(HLOOKUP(Calc_cost_centm_table2[[#Headers],[Fortinet FortiGate-1500D]],Calc_cost_centm_table1[#All],3,FALSE))+HLOOKUP(Calc_cost_centm_table2[[#Headers],[Fortinet FortiGate-1500D]],Calc_cost_centm_table1[#All],4,FALSE)</f>
        <v>0</v>
      </c>
      <c r="E11" s="287">
        <f>(HLOOKUP(Calc_cost_centm_table2[[#Headers],[HP TippingPoint S7500NX]],Calc_cost_centm_table1[#All],3,FALSE))+HLOOKUP(Calc_cost_centm_table2[[#Headers],[HP TippingPoint S7500NX]],Calc_cost_centm_table1[#All],4,FALSE)</f>
        <v>0</v>
      </c>
      <c r="F11" s="287">
        <f>(HLOOKUP(Calc_cost_centm_table2[[#Headers],[IBM Security Network Protection XGS 5100]],Calc_cost_centm_table1[#All],3,FALSE))+HLOOKUP(Calc_cost_centm_table2[[#Headers],[IBM Security Network Protection XGS 5100]],Calc_cost_centm_table1[#All],4,FALSE)</f>
        <v>0</v>
      </c>
      <c r="G11" s="287">
        <f>(HLOOKUP(Calc_cost_centm_table2[[#Headers],[IBM Security Network Protection XGS 7100]],Calc_cost_centm_table1[#All],3,FALSE))+HLOOKUP(Calc_cost_centm_table2[[#Headers],[IBM Security Network Protection XGS 7100]],Calc_cost_centm_table1[#All],4,FALSE)</f>
        <v>0</v>
      </c>
      <c r="H11" s="287">
        <f>(HLOOKUP(Calc_cost_centm_table2[[#Headers],[Palo Alto Networks PA-5020]],Calc_cost_centm_table1[#All],3,FALSE))+HLOOKUP(Calc_cost_centm_table2[[#Headers],[Palo Alto Networks PA-5020]],Calc_cost_centm_table1[#All],4,FALSE)</f>
        <v>0</v>
      </c>
    </row>
    <row r="12" spans="1:14">
      <c r="B12" s="295" t="s">
        <v>71</v>
      </c>
      <c r="C12" s="287">
        <f>(HLOOKUP(Calc_cost_centm_table2[[#Headers],[Cisco FirePOWER 8350]],Calc_cost_centm_table1[#All],3,FALSE))+HLOOKUP(Calc_cost_centm_table2[[#Headers],[Cisco FirePOWER 8350]],Calc_cost_centm_table1[#All],4,FALSE)</f>
        <v>0</v>
      </c>
      <c r="D12" s="287">
        <f>(HLOOKUP(Calc_cost_centm_table2[[#Headers],[Fortinet FortiGate-1500D]],Calc_cost_centm_table1[#All],3,FALSE))+HLOOKUP(Calc_cost_centm_table2[[#Headers],[Fortinet FortiGate-1500D]],Calc_cost_centm_table1[#All],4,FALSE)</f>
        <v>0</v>
      </c>
      <c r="E12" s="287">
        <f>(HLOOKUP(Calc_cost_centm_table2[[#Headers],[HP TippingPoint S7500NX]],Calc_cost_centm_table1[#All],3,FALSE))+HLOOKUP(Calc_cost_centm_table2[[#Headers],[HP TippingPoint S7500NX]],Calc_cost_centm_table1[#All],4,FALSE)</f>
        <v>0</v>
      </c>
      <c r="F12" s="287">
        <f>(HLOOKUP(Calc_cost_centm_table2[[#Headers],[IBM Security Network Protection XGS 5100]],Calc_cost_centm_table1[#All],3,FALSE))+HLOOKUP(Calc_cost_centm_table2[[#Headers],[IBM Security Network Protection XGS 5100]],Calc_cost_centm_table1[#All],4,FALSE)</f>
        <v>0</v>
      </c>
      <c r="G12" s="287">
        <f>(HLOOKUP(Calc_cost_centm_table2[[#Headers],[IBM Security Network Protection XGS 7100]],Calc_cost_centm_table1[#All],3,FALSE))+HLOOKUP(Calc_cost_centm_table2[[#Headers],[IBM Security Network Protection XGS 7100]],Calc_cost_centm_table1[#All],4,FALSE)</f>
        <v>0</v>
      </c>
      <c r="H12" s="287">
        <f>(HLOOKUP(Calc_cost_centm_table2[[#Headers],[Palo Alto Networks PA-5020]],Calc_cost_centm_table1[#All],3,FALSE))+HLOOKUP(Calc_cost_centm_table2[[#Headers],[Palo Alto Networks PA-5020]],Calc_cost_centm_table1[#All],4,FALSE)</f>
        <v>0</v>
      </c>
    </row>
    <row r="13" spans="1:14">
      <c r="B13" s="204"/>
      <c r="C13" s="204"/>
      <c r="D13" s="204"/>
      <c r="E13" s="204"/>
      <c r="F13" s="204"/>
      <c r="G13" s="204"/>
      <c r="H13" s="206"/>
      <c r="I13" s="204"/>
    </row>
    <row r="14" spans="1:14">
      <c r="B14" s="204"/>
      <c r="C14" s="204"/>
      <c r="D14" s="204"/>
      <c r="E14" s="204"/>
      <c r="F14" s="204"/>
      <c r="G14" s="204"/>
      <c r="H14" s="206"/>
      <c r="I14" s="272"/>
      <c r="J14" s="272"/>
    </row>
    <row r="15" spans="1:14">
      <c r="B15" s="286" t="s">
        <v>97</v>
      </c>
      <c r="F15" s="272"/>
      <c r="G15" s="272"/>
      <c r="I15" s="272"/>
      <c r="J15" s="272"/>
      <c r="K15" s="204"/>
      <c r="L15" s="204"/>
      <c r="M15" s="204"/>
      <c r="N15" s="204"/>
    </row>
    <row r="16" spans="1:14" ht="20.100000000000001" customHeight="1">
      <c r="A16" s="139" t="s">
        <v>427</v>
      </c>
      <c r="B16" s="296" t="s">
        <v>93</v>
      </c>
      <c r="C16" s="206" t="s">
        <v>701</v>
      </c>
      <c r="D16" s="206" t="s">
        <v>700</v>
      </c>
      <c r="E16" s="206" t="s">
        <v>698</v>
      </c>
      <c r="F16" s="206" t="s">
        <v>716</v>
      </c>
      <c r="G16" s="206" t="s">
        <v>717</v>
      </c>
      <c r="H16" s="206" t="s">
        <v>699</v>
      </c>
    </row>
    <row r="17" spans="1:8">
      <c r="B17" s="297" t="s">
        <v>67</v>
      </c>
      <c r="C17" s="287">
        <f>HLOOKUP(Calc_cost_centm_table3[[#Headers],[Cisco FirePOWER 8350]],Inputs_table5[#All],3,FALSE)+HLOOKUP(Calc_cost_centm_table3[[#Headers],[Cisco FirePOWER 8350]],Inputs_table5[#All],5,FALSE)</f>
        <v>12594</v>
      </c>
      <c r="D17" s="287">
        <f>HLOOKUP(Calc_cost_centm_table3[[#Headers],[Fortinet FortiGate-1500D]],Inputs_table5[#All],3,FALSE)+HLOOKUP(Calc_cost_centm_table3[[#Headers],[Fortinet FortiGate-1500D]],Inputs_table5[#All],5,FALSE)</f>
        <v>8529</v>
      </c>
      <c r="E17" s="287">
        <f>HLOOKUP(Calc_cost_centm_table3[[#Headers],[HP TippingPoint S7500NX]],Inputs_table5[#All],3,FALSE)+HLOOKUP(Calc_cost_centm_table3[[#Headers],[HP TippingPoint S7500NX]],Inputs_table5[#All],5,FALSE)</f>
        <v>12700</v>
      </c>
      <c r="F17" s="287">
        <f>HLOOKUP(Calc_cost_centm_table3[[#Headers],[IBM Security Network Protection XGS 5100]],Inputs_table5[#All],3,FALSE)+HLOOKUP(Calc_cost_centm_table3[[#Headers],[IBM Security Network Protection XGS 5100]],Inputs_table5[#All],5,FALSE)</f>
        <v>13300</v>
      </c>
      <c r="G17" s="287">
        <f>HLOOKUP(Calc_cost_centm_table3[[#Headers],[IBM Security Network Protection XGS 7100]],Inputs_table5[#All],3,FALSE)+HLOOKUP(Calc_cost_centm_table3[[#Headers],[IBM Security Network Protection XGS 7100]],Inputs_table5[#All],5,FALSE)</f>
        <v>13300</v>
      </c>
      <c r="H17" s="287">
        <f>HLOOKUP(Calc_cost_centm_table3[[#Headers],[Palo Alto Networks PA-5020]],Inputs_table5[#All],3,FALSE)+HLOOKUP(Calc_cost_centm_table3[[#Headers],[Palo Alto Networks PA-5020]],Inputs_table5[#All],5,FALSE)</f>
        <v>23299.333333333328</v>
      </c>
    </row>
    <row r="18" spans="1:8">
      <c r="B18" s="297" t="s">
        <v>69</v>
      </c>
      <c r="C18" s="287">
        <f>HLOOKUP(Calc_cost_centm_table3[[#Headers],[Cisco FirePOWER 8350]],Inputs_table5[#All],5,FALSE)</f>
        <v>1799</v>
      </c>
      <c r="D18" s="287">
        <f>HLOOKUP(Calc_cost_centm_table3[[#Headers],[Fortinet FortiGate-1500D]],Inputs_table5[#All],5,FALSE)</f>
        <v>1531</v>
      </c>
      <c r="E18" s="287">
        <f>HLOOKUP(Calc_cost_centm_table3[[#Headers],[HP TippingPoint S7500NX]],Inputs_table5[#All],5,FALSE)</f>
        <v>2204</v>
      </c>
      <c r="F18" s="287">
        <f>HLOOKUP(Calc_cost_centm_table3[[#Headers],[IBM Security Network Protection XGS 5100]],Inputs_table5[#All],5,FALSE)</f>
        <v>2660</v>
      </c>
      <c r="G18" s="287">
        <f>HLOOKUP(Calc_cost_centm_table3[[#Headers],[IBM Security Network Protection XGS 7100]],Inputs_table5[#All],5,FALSE)</f>
        <v>2660</v>
      </c>
      <c r="H18" s="287">
        <f>HLOOKUP(Calc_cost_centm_table3[[#Headers],[Palo Alto Networks PA-5020]],Inputs_table5[#All],5,FALSE)</f>
        <v>3299.3333333333298</v>
      </c>
    </row>
    <row r="19" spans="1:8">
      <c r="B19" s="298" t="s">
        <v>71</v>
      </c>
      <c r="C19" s="287">
        <f>HLOOKUP(Calc_cost_centm_table3[[#Headers],[Cisco FirePOWER 8350]],Inputs_table5[#All],5,FALSE)</f>
        <v>1799</v>
      </c>
      <c r="D19" s="287">
        <f>HLOOKUP(Calc_cost_centm_table3[[#Headers],[Fortinet FortiGate-1500D]],Inputs_table5[#All],5,FALSE)</f>
        <v>1531</v>
      </c>
      <c r="E19" s="287">
        <f>HLOOKUP(Calc_cost_centm_table3[[#Headers],[HP TippingPoint S7500NX]],Inputs_table5[#All],5,FALSE)</f>
        <v>2204</v>
      </c>
      <c r="F19" s="287">
        <f>HLOOKUP(Calc_cost_centm_table3[[#Headers],[IBM Security Network Protection XGS 5100]],Inputs_table5[#All],5,FALSE)</f>
        <v>2660</v>
      </c>
      <c r="G19" s="287">
        <f>HLOOKUP(Calc_cost_centm_table3[[#Headers],[IBM Security Network Protection XGS 7100]],Inputs_table5[#All],5,FALSE)</f>
        <v>2660</v>
      </c>
      <c r="H19" s="287">
        <f>HLOOKUP(Calc_cost_centm_table3[[#Headers],[Palo Alto Networks PA-5020]],Inputs_table5[#All],5,FALSE)</f>
        <v>3299.3333333333298</v>
      </c>
    </row>
    <row r="22" spans="1:8">
      <c r="B22" s="286" t="s">
        <v>99</v>
      </c>
    </row>
    <row r="23" spans="1:8" ht="18" customHeight="1">
      <c r="A23" s="139" t="s">
        <v>428</v>
      </c>
      <c r="B23" s="296" t="s">
        <v>93</v>
      </c>
      <c r="C23" s="206" t="s">
        <v>701</v>
      </c>
      <c r="D23" s="206" t="s">
        <v>700</v>
      </c>
      <c r="E23" s="206" t="s">
        <v>698</v>
      </c>
      <c r="F23" s="206" t="s">
        <v>716</v>
      </c>
      <c r="G23" s="206" t="s">
        <v>717</v>
      </c>
      <c r="H23" s="206" t="s">
        <v>699</v>
      </c>
    </row>
    <row r="24" spans="1:8">
      <c r="B24" s="297" t="s">
        <v>67</v>
      </c>
      <c r="C24" s="287">
        <f>HLOOKUP(Calc_cost_centm_table4[[#Headers],[Cisco FirePOWER 8350]],Calc_cost_centm_table3[#All],2,FALSE)+HLOOKUP(Calc_cost_centm_table4[[#Headers],[Cisco FirePOWER 8350]],Calc_cost_centm_table2[#All],2,FALSE)</f>
        <v>12594</v>
      </c>
      <c r="D24" s="287">
        <f>HLOOKUP(Calc_cost_centm_table4[[#Headers],[Fortinet FortiGate-1500D]],Calc_cost_centm_table3[#All],2,FALSE)+HLOOKUP(Calc_cost_centm_table4[[#Headers],[Fortinet FortiGate-1500D]],Calc_cost_centm_table2[#All],2,FALSE)</f>
        <v>8529</v>
      </c>
      <c r="E24" s="287">
        <f>HLOOKUP(Calc_cost_centm_table4[[#Headers],[HP TippingPoint S7500NX]],Calc_cost_centm_table3[#All],2,FALSE)+HLOOKUP(Calc_cost_centm_table4[[#Headers],[HP TippingPoint S7500NX]],Calc_cost_centm_table2[#All],2,FALSE)</f>
        <v>12700</v>
      </c>
      <c r="F24" s="287">
        <f>HLOOKUP(Calc_cost_centm_table4[[#Headers],[IBM Security Network Protection XGS 5100]],Calc_cost_centm_table3[#All],2,FALSE)+HLOOKUP(Calc_cost_centm_table4[[#Headers],[IBM Security Network Protection XGS 5100]],Calc_cost_centm_table2[#All],2,FALSE)</f>
        <v>13300</v>
      </c>
      <c r="G24" s="287">
        <f>HLOOKUP(Calc_cost_centm_table4[[#Headers],[IBM Security Network Protection XGS 7100]],Calc_cost_centm_table3[#All],2,FALSE)+HLOOKUP(Calc_cost_centm_table4[[#Headers],[IBM Security Network Protection XGS 7100]],Calc_cost_centm_table2[#All],2,FALSE)</f>
        <v>13300</v>
      </c>
      <c r="H24" s="287">
        <f>HLOOKUP(Calc_cost_centm_table4[[#Headers],[Palo Alto Networks PA-5020]],Calc_cost_centm_table3[#All],2,FALSE)+HLOOKUP(Calc_cost_centm_table4[[#Headers],[Palo Alto Networks PA-5020]],Calc_cost_centm_table2[#All],2,FALSE)</f>
        <v>23299.333333333328</v>
      </c>
    </row>
    <row r="25" spans="1:8">
      <c r="B25" s="297" t="s">
        <v>69</v>
      </c>
      <c r="C25" s="287">
        <f>HLOOKUP(Calc_cost_centm_table4[[#Headers],[Cisco FirePOWER 8350]],Calc_cost_centm_table3[#All],3,FALSE)+HLOOKUP(Calc_cost_centm_table4[[#Headers],[Cisco FirePOWER 8350]],Calc_cost_centm_table2[#All],3,FALSE)</f>
        <v>1799</v>
      </c>
      <c r="D25" s="287">
        <f>HLOOKUP(Calc_cost_centm_table4[[#Headers],[Fortinet FortiGate-1500D]],Calc_cost_centm_table3[#All],3,FALSE)+HLOOKUP(Calc_cost_centm_table4[[#Headers],[Fortinet FortiGate-1500D]],Calc_cost_centm_table2[#All],3,FALSE)</f>
        <v>1531</v>
      </c>
      <c r="E25" s="287">
        <f>HLOOKUP(Calc_cost_centm_table4[[#Headers],[HP TippingPoint S7500NX]],Calc_cost_centm_table3[#All],3,FALSE)+HLOOKUP(Calc_cost_centm_table4[[#Headers],[HP TippingPoint S7500NX]],Calc_cost_centm_table2[#All],3,FALSE)</f>
        <v>2204</v>
      </c>
      <c r="F25" s="287">
        <f>HLOOKUP(Calc_cost_centm_table4[[#Headers],[IBM Security Network Protection XGS 5100]],Calc_cost_centm_table3[#All],3,FALSE)+HLOOKUP(Calc_cost_centm_table4[[#Headers],[IBM Security Network Protection XGS 5100]],Calc_cost_centm_table2[#All],3,FALSE)</f>
        <v>2660</v>
      </c>
      <c r="G25" s="287">
        <f>HLOOKUP(Calc_cost_centm_table4[[#Headers],[IBM Security Network Protection XGS 7100]],Calc_cost_centm_table3[#All],3,FALSE)+HLOOKUP(Calc_cost_centm_table4[[#Headers],[IBM Security Network Protection XGS 7100]],Calc_cost_centm_table2[#All],3,FALSE)</f>
        <v>2660</v>
      </c>
      <c r="H25" s="287">
        <f>HLOOKUP(Calc_cost_centm_table4[[#Headers],[Palo Alto Networks PA-5020]],Calc_cost_centm_table3[#All],3,FALSE)+HLOOKUP(Calc_cost_centm_table4[[#Headers],[Palo Alto Networks PA-5020]],Calc_cost_centm_table2[#All],3,FALSE)</f>
        <v>3299.3333333333298</v>
      </c>
    </row>
    <row r="26" spans="1:8">
      <c r="B26" s="298" t="s">
        <v>71</v>
      </c>
      <c r="C26" s="287">
        <f>HLOOKUP(Calc_cost_centm_table4[[#Headers],[Cisco FirePOWER 8350]],Calc_cost_centm_table3[#All],4,FALSE)+HLOOKUP(Calc_cost_centm_table4[[#Headers],[Cisco FirePOWER 8350]],Calc_cost_centm_table2[#All],4,FALSE)</f>
        <v>1799</v>
      </c>
      <c r="D26" s="287">
        <f>HLOOKUP(Calc_cost_centm_table4[[#Headers],[Fortinet FortiGate-1500D]],Calc_cost_centm_table3[#All],4,FALSE)+HLOOKUP(Calc_cost_centm_table4[[#Headers],[Fortinet FortiGate-1500D]],Calc_cost_centm_table2[#All],4,FALSE)</f>
        <v>1531</v>
      </c>
      <c r="E26" s="287">
        <f>HLOOKUP(Calc_cost_centm_table4[[#Headers],[HP TippingPoint S7500NX]],Calc_cost_centm_table3[#All],4,FALSE)+HLOOKUP(Calc_cost_centm_table4[[#Headers],[HP TippingPoint S7500NX]],Calc_cost_centm_table2[#All],4,FALSE)</f>
        <v>2204</v>
      </c>
      <c r="F26" s="287">
        <f>HLOOKUP(Calc_cost_centm_table4[[#Headers],[IBM Security Network Protection XGS 5100]],Calc_cost_centm_table3[#All],4,FALSE)+HLOOKUP(Calc_cost_centm_table4[[#Headers],[IBM Security Network Protection XGS 5100]],Calc_cost_centm_table2[#All],4,FALSE)</f>
        <v>2660</v>
      </c>
      <c r="G26" s="287">
        <f>HLOOKUP(Calc_cost_centm_table4[[#Headers],[IBM Security Network Protection XGS 7100]],Calc_cost_centm_table3[#All],4,FALSE)+HLOOKUP(Calc_cost_centm_table4[[#Headers],[IBM Security Network Protection XGS 7100]],Calc_cost_centm_table2[#All],4,FALSE)</f>
        <v>2660</v>
      </c>
      <c r="H26" s="287">
        <f>HLOOKUP(Calc_cost_centm_table4[[#Headers],[Palo Alto Networks PA-5020]],Calc_cost_centm_table3[#All],4,FALSE)+HLOOKUP(Calc_cost_centm_table4[[#Headers],[Palo Alto Networks PA-5020]],Calc_cost_centm_table2[#All],4,FALSE)</f>
        <v>3299.3333333333298</v>
      </c>
    </row>
    <row r="29" spans="1:8">
      <c r="B29" s="286" t="s">
        <v>53</v>
      </c>
    </row>
    <row r="30" spans="1:8" ht="15.95" customHeight="1">
      <c r="A30" s="139" t="s">
        <v>429</v>
      </c>
      <c r="B30" s="288" t="s">
        <v>95</v>
      </c>
      <c r="C30" s="206" t="s">
        <v>701</v>
      </c>
      <c r="D30" s="206" t="s">
        <v>700</v>
      </c>
      <c r="E30" s="206" t="s">
        <v>698</v>
      </c>
      <c r="F30" s="206" t="s">
        <v>716</v>
      </c>
      <c r="G30" s="206" t="s">
        <v>717</v>
      </c>
      <c r="H30" s="206" t="s">
        <v>699</v>
      </c>
    </row>
    <row r="31" spans="1:8">
      <c r="B31" s="143" t="s">
        <v>76</v>
      </c>
      <c r="C31" s="287">
        <f>HLOOKUP(Calc_cost_centm_table5[[#Headers],[Cisco FirePOWER 8350]],Calc_cost_centm_table4[#All],2,FALSE)</f>
        <v>12594</v>
      </c>
      <c r="D31" s="287">
        <f>HLOOKUP(Calc_cost_centm_table5[[#Headers],[Fortinet FortiGate-1500D]],Calc_cost_centm_table4[#All],2,FALSE)</f>
        <v>8529</v>
      </c>
      <c r="E31" s="287">
        <f>HLOOKUP(Calc_cost_centm_table5[[#Headers],[HP TippingPoint S7500NX]],Calc_cost_centm_table4[#All],2,FALSE)</f>
        <v>12700</v>
      </c>
      <c r="F31" s="287">
        <f>HLOOKUP(Calc_cost_centm_table5[[#Headers],[IBM Security Network Protection XGS 5100]],Calc_cost_centm_table4[#All],2,FALSE)</f>
        <v>13300</v>
      </c>
      <c r="G31" s="287">
        <f>HLOOKUP(Calc_cost_centm_table5[[#Headers],[IBM Security Network Protection XGS 7100]],Calc_cost_centm_table4[#All],2,FALSE)</f>
        <v>13300</v>
      </c>
      <c r="H31" s="287">
        <f>HLOOKUP(Calc_cost_centm_table5[[#Headers],[Palo Alto Networks PA-5020]],Calc_cost_centm_table4[#All],2,FALSE)</f>
        <v>23299.333333333328</v>
      </c>
    </row>
    <row r="32" spans="1:8">
      <c r="B32" s="143" t="s">
        <v>77</v>
      </c>
      <c r="C32" s="287">
        <f>HLOOKUP(Calc_cost_centm_table5[[#Headers],[Cisco FirePOWER 8350]],Calc_cost_centm_table4[#All],2,FALSE)+HLOOKUP(Calc_cost_centm_table5[[#Headers],[Cisco FirePOWER 8350]],Calc_cost_centm_table4[#All],3,FALSE)</f>
        <v>14393</v>
      </c>
      <c r="D32" s="287">
        <f>HLOOKUP(Calc_cost_centm_table5[[#Headers],[Fortinet FortiGate-1500D]],Calc_cost_centm_table4[#All],2,FALSE)+HLOOKUP(Calc_cost_centm_table5[[#Headers],[Fortinet FortiGate-1500D]],Calc_cost_centm_table4[#All],3,FALSE)</f>
        <v>10060</v>
      </c>
      <c r="E32" s="287">
        <f>HLOOKUP(Calc_cost_centm_table5[[#Headers],[HP TippingPoint S7500NX]],Calc_cost_centm_table4[#All],2,FALSE)+HLOOKUP(Calc_cost_centm_table5[[#Headers],[HP TippingPoint S7500NX]],Calc_cost_centm_table4[#All],3,FALSE)</f>
        <v>14904</v>
      </c>
      <c r="F32" s="287">
        <f>HLOOKUP(Calc_cost_centm_table5[[#Headers],[IBM Security Network Protection XGS 5100]],Calc_cost_centm_table4[#All],2,FALSE)+HLOOKUP(Calc_cost_centm_table5[[#Headers],[IBM Security Network Protection XGS 5100]],Calc_cost_centm_table4[#All],3,FALSE)</f>
        <v>15960</v>
      </c>
      <c r="G32" s="287">
        <f>HLOOKUP(Calc_cost_centm_table5[[#Headers],[IBM Security Network Protection XGS 7100]],Calc_cost_centm_table4[#All],2,FALSE)+HLOOKUP(Calc_cost_centm_table5[[#Headers],[IBM Security Network Protection XGS 7100]],Calc_cost_centm_table4[#All],3,FALSE)</f>
        <v>15960</v>
      </c>
      <c r="H32" s="287">
        <f>HLOOKUP(Calc_cost_centm_table5[[#Headers],[Palo Alto Networks PA-5020]],Calc_cost_centm_table4[#All],2,FALSE)+HLOOKUP(Calc_cost_centm_table5[[#Headers],[Palo Alto Networks PA-5020]],Calc_cost_centm_table4[#All],3,FALSE)</f>
        <v>26598.666666666657</v>
      </c>
    </row>
    <row r="33" spans="2:9">
      <c r="B33" s="143" t="s">
        <v>75</v>
      </c>
      <c r="C33" s="287">
        <f>HLOOKUP(Calc_cost_centm_table5[[#Headers],[Cisco FirePOWER 8350]],Calc_cost_centm_table4[#All],2,FALSE)+HLOOKUP(Calc_cost_centm_table5[[#Headers],[Cisco FirePOWER 8350]],Calc_cost_centm_table4[#All],3,FALSE)+HLOOKUP(Calc_cost_centm_table5[[#Headers],[Cisco FirePOWER 8350]],Calc_cost_centm_table4[#All],4,FALSE)</f>
        <v>16192</v>
      </c>
      <c r="D33" s="287">
        <f>HLOOKUP(Calc_cost_centm_table5[[#Headers],[Fortinet FortiGate-1500D]],Calc_cost_centm_table4[#All],2,FALSE)+HLOOKUP(Calc_cost_centm_table5[[#Headers],[Fortinet FortiGate-1500D]],Calc_cost_centm_table4[#All],3,FALSE)+HLOOKUP(Calc_cost_centm_table5[[#Headers],[Fortinet FortiGate-1500D]],Calc_cost_centm_table4[#All],4,FALSE)</f>
        <v>11591</v>
      </c>
      <c r="E33" s="287">
        <f>HLOOKUP(Calc_cost_centm_table5[[#Headers],[HP TippingPoint S7500NX]],Calc_cost_centm_table4[#All],2,FALSE)+HLOOKUP(Calc_cost_centm_table5[[#Headers],[HP TippingPoint S7500NX]],Calc_cost_centm_table4[#All],3,FALSE)+HLOOKUP(Calc_cost_centm_table5[[#Headers],[HP TippingPoint S7500NX]],Calc_cost_centm_table4[#All],4,FALSE)</f>
        <v>17108</v>
      </c>
      <c r="F33" s="287">
        <f>HLOOKUP(Calc_cost_centm_table5[[#Headers],[IBM Security Network Protection XGS 5100]],Calc_cost_centm_table4[#All],2,FALSE)+HLOOKUP(Calc_cost_centm_table5[[#Headers],[IBM Security Network Protection XGS 5100]],Calc_cost_centm_table4[#All],3,FALSE)+HLOOKUP(Calc_cost_centm_table5[[#Headers],[IBM Security Network Protection XGS 5100]],Calc_cost_centm_table4[#All],4,FALSE)</f>
        <v>18620</v>
      </c>
      <c r="G33" s="287">
        <f>HLOOKUP(Calc_cost_centm_table5[[#Headers],[IBM Security Network Protection XGS 7100]],Calc_cost_centm_table4[#All],2,FALSE)+HLOOKUP(Calc_cost_centm_table5[[#Headers],[IBM Security Network Protection XGS 7100]],Calc_cost_centm_table4[#All],3,FALSE)+HLOOKUP(Calc_cost_centm_table5[[#Headers],[IBM Security Network Protection XGS 7100]],Calc_cost_centm_table4[#All],4,FALSE)</f>
        <v>18620</v>
      </c>
      <c r="H33" s="287">
        <f>HLOOKUP(Calc_cost_centm_table5[[#Headers],[Palo Alto Networks PA-5020]],Calc_cost_centm_table4[#All],2,FALSE)+HLOOKUP(Calc_cost_centm_table5[[#Headers],[Palo Alto Networks PA-5020]],Calc_cost_centm_table4[#All],3,FALSE)+HLOOKUP(Calc_cost_centm_table5[[#Headers],[Palo Alto Networks PA-5020]],Calc_cost_centm_table4[#All],4,FALSE)</f>
        <v>29897.999999999985</v>
      </c>
    </row>
    <row r="46" spans="2:9">
      <c r="C46" s="289"/>
      <c r="D46" s="289"/>
      <c r="E46" s="289"/>
      <c r="F46" s="289"/>
      <c r="G46" s="289"/>
      <c r="H46" s="223"/>
      <c r="I46" s="289"/>
    </row>
    <row r="47" spans="2:9">
      <c r="C47" s="289"/>
      <c r="D47" s="289"/>
      <c r="E47" s="289"/>
      <c r="F47" s="289"/>
      <c r="G47" s="289"/>
      <c r="H47" s="223"/>
      <c r="I47" s="289"/>
    </row>
    <row r="48" spans="2:9">
      <c r="C48" s="289"/>
      <c r="D48" s="289"/>
      <c r="E48" s="289"/>
      <c r="F48" s="289"/>
      <c r="G48" s="289"/>
      <c r="H48" s="223"/>
      <c r="I48" s="289"/>
    </row>
  </sheetData>
  <sheetProtection algorithmName="SHA-512" hashValue="0TJnm6qKnBBww0GJ25wghvyIUmhj6FBYnH9ehjOdzGnl78ApFPW8fbr53q8Cqe5TF26ka5HL1GZmZ4uJvgyd5g==" saltValue="N1b72vPD7rP9uexzHq5IDw==" spinCount="100000" sheet="1" objects="1" scenarios="1"/>
  <conditionalFormatting sqref="B5 B3:H4 C10:H12 C17:H19 C24:H26 C31:H33">
    <cfRule type="containsText" dxfId="192" priority="163" operator="containsText" text="FAIL">
      <formula>NOT(ISERROR(SEARCH("FAIL",B3)))</formula>
    </cfRule>
  </conditionalFormatting>
  <conditionalFormatting sqref="B5">
    <cfRule type="containsText" dxfId="191" priority="120" operator="containsText" text="FAIL">
      <formula>NOT(ISERROR(SEARCH("FAIL",B5)))</formula>
    </cfRule>
  </conditionalFormatting>
  <conditionalFormatting sqref="C5:H5">
    <cfRule type="containsText" dxfId="190" priority="1" operator="containsText" text="FAIL">
      <formula>NOT(ISERROR(SEARCH("FAIL",C5)))</formula>
    </cfRule>
  </conditionalFormatting>
  <pageMargins left="0.75" right="0.75" top="1" bottom="1" header="0.5" footer="0.5"/>
  <pageSetup orientation="portrait" horizontalDpi="4294967292" verticalDpi="4294967292"/>
  <ignoredErrors>
    <ignoredError sqref="C24:C26 C31:C33 C11:C12" calculatedColumn="1"/>
  </ignoredErrors>
  <tableParts count="5">
    <tablePart r:id="rId1"/>
    <tablePart r:id="rId2"/>
    <tablePart r:id="rId3"/>
    <tablePart r:id="rId4"/>
    <tablePart r:id="rId5"/>
  </tableParts>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9"/>
  <sheetViews>
    <sheetView showGridLines="0" workbookViewId="0">
      <selection activeCell="F10" sqref="F10"/>
    </sheetView>
  </sheetViews>
  <sheetFormatPr defaultColWidth="8.85546875" defaultRowHeight="12"/>
  <cols>
    <col min="1" max="1" width="12.28515625" style="133" bestFit="1" customWidth="1"/>
    <col min="2" max="2" width="118" style="133" customWidth="1"/>
    <col min="3" max="7" width="12.140625" style="143" bestFit="1" customWidth="1"/>
    <col min="8" max="8" width="12.85546875" style="143" customWidth="1"/>
    <col min="9" max="16384" width="8.85546875" style="133"/>
  </cols>
  <sheetData>
    <row r="1" spans="1:8">
      <c r="A1" s="172" t="s">
        <v>0</v>
      </c>
      <c r="B1" s="206" t="s">
        <v>1</v>
      </c>
      <c r="C1" s="206" t="s">
        <v>701</v>
      </c>
      <c r="D1" s="206" t="s">
        <v>700</v>
      </c>
      <c r="E1" s="206" t="s">
        <v>698</v>
      </c>
      <c r="F1" s="206" t="s">
        <v>716</v>
      </c>
      <c r="G1" s="206" t="s">
        <v>717</v>
      </c>
      <c r="H1" s="206" t="s">
        <v>699</v>
      </c>
    </row>
    <row r="2" spans="1:8" ht="12.75">
      <c r="A2" s="319">
        <v>3</v>
      </c>
      <c r="B2" s="319" t="s">
        <v>2</v>
      </c>
      <c r="C2" s="320"/>
      <c r="D2" s="320"/>
      <c r="E2" s="320"/>
      <c r="F2" s="320"/>
      <c r="G2" s="320"/>
      <c r="H2" s="320"/>
    </row>
    <row r="3" spans="1:8" ht="12.75">
      <c r="A3" s="321"/>
      <c r="B3" s="319" t="s">
        <v>676</v>
      </c>
      <c r="C3" s="388">
        <f>HLOOKUP(Comb_scrd[[#Headers],[Cisco FirePOWER 8350]],PAR_scrd[#All],3,FALSE)</f>
        <v>0.99518408324552166</v>
      </c>
      <c r="D3" s="388">
        <f>HLOOKUP(Comb_scrd[[#Headers],[Fortinet FortiGate-1500D]],PAR_scrd[#All],3,FALSE)</f>
        <v>0.99160531305383703</v>
      </c>
      <c r="E3" s="388">
        <f>HLOOKUP(Comb_scrd[[#Headers],[HP TippingPoint S7500NX]],PAR_scrd[#All],3,FALSE)</f>
        <v>0.86619640834260148</v>
      </c>
      <c r="F3" s="388">
        <f>HLOOKUP(Comb_scrd[[#Headers],[IBM Security Network Protection XGS 5100]],PAR_scrd[#All],3,FALSE)</f>
        <v>0.96755286090621706</v>
      </c>
      <c r="G3" s="388">
        <f>HLOOKUP(Comb_scrd[[#Headers],[IBM Security Network Protection XGS 7100]],PAR_scrd[#All],3,FALSE)</f>
        <v>0.96755286090621706</v>
      </c>
      <c r="H3" s="388">
        <f>HLOOKUP(Comb_scrd[[#Headers],[Palo Alto Networks PA-5020]],PAR_scrd[#All],3,FALSE)</f>
        <v>0.987881981032666</v>
      </c>
    </row>
    <row r="4" spans="1:8" ht="12.75">
      <c r="A4" s="322">
        <v>3.1</v>
      </c>
      <c r="B4" s="323" t="s">
        <v>503</v>
      </c>
      <c r="C4" s="362"/>
      <c r="D4" s="362"/>
      <c r="E4" s="362"/>
      <c r="F4" s="362"/>
      <c r="G4" s="362"/>
      <c r="H4" s="362"/>
    </row>
    <row r="5" spans="1:8" ht="12.75">
      <c r="A5" s="324" t="s">
        <v>3</v>
      </c>
      <c r="B5" s="325" t="s">
        <v>206</v>
      </c>
      <c r="C5" s="326" t="str">
        <f>HLOOKUP(Comb_scrd[[#Headers],[Cisco FirePOWER 8350]],PAR_scrd[#All],5,FALSE)</f>
        <v>PASS</v>
      </c>
      <c r="D5" s="326" t="str">
        <f>HLOOKUP(Comb_scrd[[#Headers],[Fortinet FortiGate-1500D]],PAR_scrd[#All],5,FALSE)</f>
        <v>PASS</v>
      </c>
      <c r="E5" s="326" t="str">
        <f>HLOOKUP(Comb_scrd[[#Headers],[HP TippingPoint S7500NX]],PAR_scrd[#All],5,FALSE)</f>
        <v>PASS</v>
      </c>
      <c r="F5" s="326" t="str">
        <f>HLOOKUP(Comb_scrd[[#Headers],[IBM Security Network Protection XGS 5100]],PAR_scrd[#All],5,FALSE)</f>
        <v>PASS</v>
      </c>
      <c r="G5" s="326" t="str">
        <f>HLOOKUP(Comb_scrd[[#Headers],[IBM Security Network Protection XGS 7100]],PAR_scrd[#All],5,FALSE)</f>
        <v>PASS</v>
      </c>
      <c r="H5" s="326" t="str">
        <f>HLOOKUP(Comb_scrd[[#Headers],[Palo Alto Networks PA-5020]],PAR_scrd[#All],5,FALSE)</f>
        <v>PASS</v>
      </c>
    </row>
    <row r="6" spans="1:8" ht="12.75">
      <c r="A6" s="327" t="s">
        <v>4</v>
      </c>
      <c r="B6" s="327" t="s">
        <v>207</v>
      </c>
      <c r="C6" s="328"/>
      <c r="D6" s="328"/>
      <c r="E6" s="328"/>
      <c r="F6" s="328"/>
      <c r="G6" s="328"/>
      <c r="H6" s="328"/>
    </row>
    <row r="7" spans="1:8" ht="12.75">
      <c r="A7" s="329" t="s">
        <v>504</v>
      </c>
      <c r="B7" s="329" t="s">
        <v>178</v>
      </c>
      <c r="C7" s="368">
        <f>HLOOKUP(Comb_scrd[[#Headers],[Cisco FirePOWER 8350]],PAR_scrd[#All],7,FALSE)</f>
        <v>0.99546998867497172</v>
      </c>
      <c r="D7" s="368">
        <f>HLOOKUP(Comb_scrd[[#Headers],[Fortinet FortiGate-1500D]],PAR_scrd[#All],7,FALSE)</f>
        <v>0.9977349943374858</v>
      </c>
      <c r="E7" s="368">
        <f>HLOOKUP(Comb_scrd[[#Headers],[HP TippingPoint S7500NX]],PAR_scrd[#All],7,FALSE)</f>
        <v>0.97961494903737256</v>
      </c>
      <c r="F7" s="368">
        <f>HLOOKUP(Comb_scrd[[#Headers],[IBM Security Network Protection XGS 5100]],PAR_scrd[#All],7,FALSE)</f>
        <v>0.99320498301245752</v>
      </c>
      <c r="G7" s="368">
        <f>HLOOKUP(Comb_scrd[[#Headers],[IBM Security Network Protection XGS 7100]],PAR_scrd[#All],7,FALSE)</f>
        <v>0.99320498301245752</v>
      </c>
      <c r="H7" s="368">
        <f>HLOOKUP(Comb_scrd[[#Headers],[Palo Alto Networks PA-5020]],PAR_scrd[#All],7,FALSE)</f>
        <v>0.96375990939977352</v>
      </c>
    </row>
    <row r="8" spans="1:8" ht="12.75">
      <c r="A8" s="329" t="s">
        <v>505</v>
      </c>
      <c r="B8" s="329" t="s">
        <v>179</v>
      </c>
      <c r="C8" s="368">
        <f>HLOOKUP(Comb_scrd[[#Headers],[Cisco FirePOWER 8350]],PAR_scrd[#All],8,FALSE)</f>
        <v>0.99507389162561577</v>
      </c>
      <c r="D8" s="368">
        <f>HLOOKUP(Comb_scrd[[#Headers],[Fortinet FortiGate-1500D]],PAR_scrd[#All],8,FALSE)</f>
        <v>0.99802955665024629</v>
      </c>
      <c r="E8" s="368">
        <f>HLOOKUP(Comb_scrd[[#Headers],[HP TippingPoint S7500NX]],PAR_scrd[#All],8,FALSE)</f>
        <v>0.99014778325123154</v>
      </c>
      <c r="F8" s="368">
        <f>HLOOKUP(Comb_scrd[[#Headers],[IBM Security Network Protection XGS 5100]],PAR_scrd[#All],8,FALSE)</f>
        <v>0.98522167487684731</v>
      </c>
      <c r="G8" s="368">
        <f>HLOOKUP(Comb_scrd[[#Headers],[IBM Security Network Protection XGS 7100]],PAR_scrd[#All],8,FALSE)</f>
        <v>0.98522167487684731</v>
      </c>
      <c r="H8" s="368">
        <f>HLOOKUP(Comb_scrd[[#Headers],[Palo Alto Networks PA-5020]],PAR_scrd[#All],8,FALSE)</f>
        <v>0.98620689655172411</v>
      </c>
    </row>
    <row r="9" spans="1:8" ht="12.75">
      <c r="A9" s="329" t="s">
        <v>506</v>
      </c>
      <c r="B9" s="329" t="s">
        <v>208</v>
      </c>
      <c r="C9" s="368">
        <f>HLOOKUP(Comb_scrd[[#Headers],[Cisco FirePOWER 8350]],PAR_scrd[#All],9,FALSE)</f>
        <v>0.99525816649104315</v>
      </c>
      <c r="D9" s="368">
        <f>HLOOKUP(Comb_scrd[[#Headers],[Fortinet FortiGate-1500D]],PAR_scrd[#All],9,FALSE)</f>
        <v>0.99789251844046367</v>
      </c>
      <c r="E9" s="368">
        <f>HLOOKUP(Comb_scrd[[#Headers],[HP TippingPoint S7500NX]],PAR_scrd[#All],9,FALSE)</f>
        <v>0.98524762908324548</v>
      </c>
      <c r="F9" s="368">
        <f>HLOOKUP(Comb_scrd[[#Headers],[IBM Security Network Protection XGS 5100]],PAR_scrd[#All],9,FALSE)</f>
        <v>0.98893572181243417</v>
      </c>
      <c r="G9" s="368">
        <f>HLOOKUP(Comb_scrd[[#Headers],[IBM Security Network Protection XGS 7100]],PAR_scrd[#All],9,FALSE)</f>
        <v>0.98893572181243417</v>
      </c>
      <c r="H9" s="368">
        <f>HLOOKUP(Comb_scrd[[#Headers],[Palo Alto Networks PA-5020]],PAR_scrd[#All],9,FALSE)</f>
        <v>0.97576396206533189</v>
      </c>
    </row>
    <row r="10" spans="1:8" ht="12.75">
      <c r="A10" s="327" t="s">
        <v>5</v>
      </c>
      <c r="B10" s="327" t="s">
        <v>209</v>
      </c>
      <c r="C10" s="328"/>
      <c r="D10" s="328"/>
      <c r="E10" s="328"/>
      <c r="F10" s="328"/>
      <c r="G10" s="328"/>
      <c r="H10" s="328"/>
    </row>
    <row r="11" spans="1:8" ht="12.75">
      <c r="A11" s="329" t="s">
        <v>507</v>
      </c>
      <c r="B11" s="329" t="s">
        <v>210</v>
      </c>
      <c r="C11" s="368">
        <f>HLOOKUP(Comb_scrd[[#Headers],[Cisco FirePOWER 8350]],PAR_scrd[#All],11,FALSE)</f>
        <v>0.99511897498474677</v>
      </c>
      <c r="D11" s="368">
        <f>HLOOKUP(Comb_scrd[[#Headers],[Fortinet FortiGate-1500D]],PAR_scrd[#All],11,FALSE)</f>
        <v>0.99877974374618672</v>
      </c>
      <c r="E11" s="368">
        <f>HLOOKUP(Comb_scrd[[#Headers],[HP TippingPoint S7500NX]],PAR_scrd[#All],11,FALSE)</f>
        <v>0.99023794996949355</v>
      </c>
      <c r="F11" s="368">
        <f>HLOOKUP(Comb_scrd[[#Headers],[IBM Security Network Protection XGS 5100]],PAR_scrd[#All],11,FALSE)</f>
        <v>0.98840756558877363</v>
      </c>
      <c r="G11" s="368">
        <f>HLOOKUP(Comb_scrd[[#Headers],[IBM Security Network Protection XGS 7100]],PAR_scrd[#All],11,FALSE)</f>
        <v>0.98840756558877363</v>
      </c>
      <c r="H11" s="368">
        <f>HLOOKUP(Comb_scrd[[#Headers],[Palo Alto Networks PA-5020]],PAR_scrd[#All],11,FALSE)</f>
        <v>0.97620500305064062</v>
      </c>
    </row>
    <row r="12" spans="1:8" ht="12.75">
      <c r="A12" s="329" t="s">
        <v>508</v>
      </c>
      <c r="B12" s="329" t="s">
        <v>211</v>
      </c>
      <c r="C12" s="368">
        <f>HLOOKUP(Comb_scrd[[#Headers],[Cisco FirePOWER 8350]],PAR_scrd[#All],12,FALSE)</f>
        <v>1</v>
      </c>
      <c r="D12" s="368">
        <f>HLOOKUP(Comb_scrd[[#Headers],[Fortinet FortiGate-1500D]],PAR_scrd[#All],12,FALSE)</f>
        <v>0.99145299145299148</v>
      </c>
      <c r="E12" s="368">
        <f>HLOOKUP(Comb_scrd[[#Headers],[HP TippingPoint S7500NX]],PAR_scrd[#All],12,FALSE)</f>
        <v>0.99145299145299148</v>
      </c>
      <c r="F12" s="368">
        <f>HLOOKUP(Comb_scrd[[#Headers],[IBM Security Network Protection XGS 5100]],PAR_scrd[#All],12,FALSE)</f>
        <v>1</v>
      </c>
      <c r="G12" s="368">
        <f>HLOOKUP(Comb_scrd[[#Headers],[IBM Security Network Protection XGS 7100]],PAR_scrd[#All],12,FALSE)</f>
        <v>1</v>
      </c>
      <c r="H12" s="368">
        <f>HLOOKUP(Comb_scrd[[#Headers],[Palo Alto Networks PA-5020]],PAR_scrd[#All],12,FALSE)</f>
        <v>0.98290598290598286</v>
      </c>
    </row>
    <row r="13" spans="1:8" ht="12.75">
      <c r="A13" s="329" t="s">
        <v>509</v>
      </c>
      <c r="B13" s="329" t="s">
        <v>212</v>
      </c>
      <c r="C13" s="368">
        <f>HLOOKUP(Comb_scrd[[#Headers],[Cisco FirePOWER 8350]],PAR_scrd[#All],13,FALSE)</f>
        <v>0.99295774647887325</v>
      </c>
      <c r="D13" s="368">
        <f>HLOOKUP(Comb_scrd[[#Headers],[Fortinet FortiGate-1500D]],PAR_scrd[#All],13,FALSE)</f>
        <v>0.99295774647887325</v>
      </c>
      <c r="E13" s="368">
        <f>HLOOKUP(Comb_scrd[[#Headers],[HP TippingPoint S7500NX]],PAR_scrd[#All],13,FALSE)</f>
        <v>0.92253521126760563</v>
      </c>
      <c r="F13" s="368">
        <f>HLOOKUP(Comb_scrd[[#Headers],[IBM Security Network Protection XGS 5100]],PAR_scrd[#All],13,FALSE)</f>
        <v>0.9859154929577465</v>
      </c>
      <c r="G13" s="368">
        <f>HLOOKUP(Comb_scrd[[#Headers],[IBM Security Network Protection XGS 7100]],PAR_scrd[#All],13,FALSE)</f>
        <v>0.9859154929577465</v>
      </c>
      <c r="H13" s="368">
        <f>HLOOKUP(Comb_scrd[[#Headers],[Palo Alto Networks PA-5020]],PAR_scrd[#All],13,FALSE)</f>
        <v>0.96478873239436624</v>
      </c>
    </row>
    <row r="14" spans="1:8" ht="12.75">
      <c r="A14" s="325" t="s">
        <v>6</v>
      </c>
      <c r="B14" s="325" t="s">
        <v>213</v>
      </c>
      <c r="C14" s="326" t="str">
        <f>HLOOKUP(Comb_scrd[[#Headers],[Cisco FirePOWER 8350]],PAR_scrd[#All],14,FALSE)</f>
        <v>Contact NSS</v>
      </c>
      <c r="D14" s="326" t="str">
        <f>HLOOKUP(Comb_scrd[[#Headers],[Fortinet FortiGate-1500D]],PAR_scrd[#All],14,FALSE)</f>
        <v>Contact NSS</v>
      </c>
      <c r="E14" s="326" t="str">
        <f>HLOOKUP(Comb_scrd[[#Headers],[HP TippingPoint S7500NX]],PAR_scrd[#All],14,FALSE)</f>
        <v>Contact NSS</v>
      </c>
      <c r="F14" s="326" t="str">
        <f>HLOOKUP(Comb_scrd[[#Headers],[IBM Security Network Protection XGS 5100]],PAR_scrd[#All],14,FALSE)</f>
        <v>Contact NSS</v>
      </c>
      <c r="G14" s="326" t="str">
        <f>HLOOKUP(Comb_scrd[[#Headers],[IBM Security Network Protection XGS 7100]],PAR_scrd[#All],14,FALSE)</f>
        <v>Contact NSS</v>
      </c>
      <c r="H14" s="326" t="str">
        <f>HLOOKUP(Comb_scrd[[#Headers],[Palo Alto Networks PA-5020]],PAR_scrd[#All],14,FALSE)</f>
        <v>Contact NSS</v>
      </c>
    </row>
    <row r="15" spans="1:8" ht="12.75">
      <c r="A15" s="325" t="s">
        <v>7</v>
      </c>
      <c r="B15" s="325" t="s">
        <v>214</v>
      </c>
      <c r="C15" s="326" t="str">
        <f>HLOOKUP(Comb_scrd[[#Headers],[Cisco FirePOWER 8350]],PAR_scrd[#All],15,FALSE)</f>
        <v>Contact NSS</v>
      </c>
      <c r="D15" s="326" t="str">
        <f>HLOOKUP(Comb_scrd[[#Headers],[Fortinet FortiGate-1500D]],PAR_scrd[#All],15,FALSE)</f>
        <v>Contact NSS</v>
      </c>
      <c r="E15" s="326" t="str">
        <f>HLOOKUP(Comb_scrd[[#Headers],[HP TippingPoint S7500NX]],PAR_scrd[#All],15,FALSE)</f>
        <v>Contact NSS</v>
      </c>
      <c r="F15" s="326" t="str">
        <f>HLOOKUP(Comb_scrd[[#Headers],[IBM Security Network Protection XGS 5100]],PAR_scrd[#All],15,FALSE)</f>
        <v>Contact NSS</v>
      </c>
      <c r="G15" s="326" t="str">
        <f>HLOOKUP(Comb_scrd[[#Headers],[IBM Security Network Protection XGS 7100]],PAR_scrd[#All],15,FALSE)</f>
        <v>Contact NSS</v>
      </c>
      <c r="H15" s="326" t="str">
        <f>HLOOKUP(Comb_scrd[[#Headers],[Palo Alto Networks PA-5020]],PAR_scrd[#All],15,FALSE)</f>
        <v>Contact NSS</v>
      </c>
    </row>
    <row r="16" spans="1:8" ht="12.75">
      <c r="A16" s="325" t="s">
        <v>8</v>
      </c>
      <c r="B16" s="325" t="s">
        <v>215</v>
      </c>
      <c r="C16" s="326" t="str">
        <f>HLOOKUP(Comb_scrd[[#Headers],[Cisco FirePOWER 8350]],PAR_scrd[#All],16,FALSE)</f>
        <v>Contact NSS</v>
      </c>
      <c r="D16" s="326" t="str">
        <f>HLOOKUP(Comb_scrd[[#Headers],[Fortinet FortiGate-1500D]],PAR_scrd[#All],16,FALSE)</f>
        <v>Contact NSS</v>
      </c>
      <c r="E16" s="326" t="str">
        <f>HLOOKUP(Comb_scrd[[#Headers],[HP TippingPoint S7500NX]],PAR_scrd[#All],16,FALSE)</f>
        <v>Contact NSS</v>
      </c>
      <c r="F16" s="326" t="str">
        <f>HLOOKUP(Comb_scrd[[#Headers],[IBM Security Network Protection XGS 5100]],PAR_scrd[#All],16,FALSE)</f>
        <v>Contact NSS</v>
      </c>
      <c r="G16" s="326" t="str">
        <f>HLOOKUP(Comb_scrd[[#Headers],[IBM Security Network Protection XGS 7100]],PAR_scrd[#All],16,FALSE)</f>
        <v>Contact NSS</v>
      </c>
      <c r="H16" s="326" t="str">
        <f>HLOOKUP(Comb_scrd[[#Headers],[Palo Alto Networks PA-5020]],PAR_scrd[#All],16,FALSE)</f>
        <v>Contact NSS</v>
      </c>
    </row>
    <row r="17" spans="1:8" ht="12.75">
      <c r="A17" s="325" t="s">
        <v>472</v>
      </c>
      <c r="B17" s="325" t="s">
        <v>216</v>
      </c>
      <c r="C17" s="326" t="str">
        <f>HLOOKUP(Comb_scrd[[#Headers],[Cisco FirePOWER 8350]],PAR_scrd[#All],17,FALSE)</f>
        <v>Contact NSS</v>
      </c>
      <c r="D17" s="326" t="str">
        <f>HLOOKUP(Comb_scrd[[#Headers],[Fortinet FortiGate-1500D]],PAR_scrd[#All],17,FALSE)</f>
        <v>Contact NSS</v>
      </c>
      <c r="E17" s="326" t="str">
        <f>HLOOKUP(Comb_scrd[[#Headers],[HP TippingPoint S7500NX]],PAR_scrd[#All],17,FALSE)</f>
        <v>Contact NSS</v>
      </c>
      <c r="F17" s="326" t="str">
        <f>HLOOKUP(Comb_scrd[[#Headers],[IBM Security Network Protection XGS 5100]],PAR_scrd[#All],17,FALSE)</f>
        <v>Contact NSS</v>
      </c>
      <c r="G17" s="326" t="str">
        <f>HLOOKUP(Comb_scrd[[#Headers],[IBM Security Network Protection XGS 7100]],PAR_scrd[#All],17,FALSE)</f>
        <v>Contact NSS</v>
      </c>
      <c r="H17" s="326" t="str">
        <f>HLOOKUP(Comb_scrd[[#Headers],[Palo Alto Networks PA-5020]],PAR_scrd[#All],17,FALSE)</f>
        <v>Contact NSS</v>
      </c>
    </row>
    <row r="18" spans="1:8" ht="12.75">
      <c r="A18" s="327">
        <v>3.2</v>
      </c>
      <c r="B18" s="327" t="s">
        <v>677</v>
      </c>
      <c r="C18" s="328"/>
      <c r="D18" s="328"/>
      <c r="E18" s="328"/>
      <c r="F18" s="328"/>
      <c r="G18" s="328"/>
      <c r="H18" s="328"/>
    </row>
    <row r="19" spans="1:8" ht="12.75">
      <c r="A19" s="325" t="s">
        <v>678</v>
      </c>
      <c r="B19" s="325" t="s">
        <v>679</v>
      </c>
      <c r="C19" s="369">
        <f>HLOOKUP(Comb_scrd[[#Headers],[Cisco FirePOWER 8350]],PAR_scrd[#All],19,FALSE)</f>
        <v>0.99511000000000005</v>
      </c>
      <c r="D19" s="369">
        <f>HLOOKUP(Comb_scrd[[#Headers],[Fortinet FortiGate-1500D]],PAR_scrd[#All],19,FALSE)</f>
        <v>0.9853181076672104</v>
      </c>
      <c r="E19" s="369">
        <f>HLOOKUP(Comb_scrd[[#Headers],[HP TippingPoint S7500NX]],PAR_scrd[#All],19,FALSE)</f>
        <v>0.74714518760195758</v>
      </c>
      <c r="F19" s="369">
        <f>HLOOKUP(Comb_scrd[[#Headers],[IBM Security Network Protection XGS 5100]],PAR_scrd[#All],19,FALSE)</f>
        <v>0.94616999999999996</v>
      </c>
      <c r="G19" s="369">
        <f>HLOOKUP(Comb_scrd[[#Headers],[IBM Security Network Protection XGS 7100]],PAR_scrd[#All],19,FALSE)</f>
        <v>0.94616999999999996</v>
      </c>
      <c r="H19" s="369">
        <f>HLOOKUP(Comb_scrd[[#Headers],[Palo Alto Networks PA-5020]],PAR_scrd[#All],19,FALSE)</f>
        <v>1</v>
      </c>
    </row>
    <row r="20" spans="1:8" ht="12.75" hidden="1">
      <c r="A20" s="325" t="s">
        <v>680</v>
      </c>
      <c r="B20" s="325" t="s">
        <v>681</v>
      </c>
      <c r="C20" s="369">
        <f>HLOOKUP(Comb_scrd[[#Headers],[Cisco FirePOWER 8350]],PAR_scrd[#All],20,FALSE)</f>
        <v>0</v>
      </c>
      <c r="D20" s="369">
        <f>HLOOKUP(Comb_scrd[[#Headers],[Fortinet FortiGate-1500D]],PAR_scrd[#All],20,FALSE)</f>
        <v>0</v>
      </c>
      <c r="E20" s="369">
        <f>HLOOKUP(Comb_scrd[[#Headers],[HP TippingPoint S7500NX]],PAR_scrd[#All],20,FALSE)</f>
        <v>0</v>
      </c>
      <c r="F20" s="369">
        <f>HLOOKUP(Comb_scrd[[#Headers],[IBM Security Network Protection XGS 5100]],PAR_scrd[#All],20,FALSE)</f>
        <v>0</v>
      </c>
      <c r="G20" s="369">
        <f>HLOOKUP(Comb_scrd[[#Headers],[IBM Security Network Protection XGS 7100]],PAR_scrd[#All],20,FALSE)</f>
        <v>0</v>
      </c>
      <c r="H20" s="369">
        <f>HLOOKUP(Comb_scrd[[#Headers],[Palo Alto Networks PA-5020]],PAR_scrd[#All],20,FALSE)</f>
        <v>0</v>
      </c>
    </row>
    <row r="21" spans="1:8" ht="12.75">
      <c r="A21" s="330">
        <v>3.4</v>
      </c>
      <c r="B21" s="330" t="s">
        <v>510</v>
      </c>
      <c r="C21" s="363"/>
      <c r="D21" s="363"/>
      <c r="E21" s="363"/>
      <c r="F21" s="363"/>
      <c r="G21" s="363"/>
      <c r="H21" s="363"/>
    </row>
    <row r="22" spans="1:8" ht="12.75">
      <c r="A22" s="331" t="s">
        <v>474</v>
      </c>
      <c r="B22" s="332" t="s">
        <v>473</v>
      </c>
      <c r="C22" s="364" t="str">
        <f>HLOOKUP(Comb_scrd[[#Headers],[Cisco FirePOWER 8350]],PAR_scrd[#All],22,FALSE)</f>
        <v>PASS</v>
      </c>
      <c r="D22" s="364" t="str">
        <f>HLOOKUP(Comb_scrd[[#Headers],[Fortinet FortiGate-1500D]],PAR_scrd[#All],22,FALSE)</f>
        <v>N/A</v>
      </c>
      <c r="E22" s="364" t="str">
        <f>HLOOKUP(Comb_scrd[[#Headers],[HP TippingPoint S7500NX]],PAR_scrd[#All],22,FALSE)</f>
        <v>N/A</v>
      </c>
      <c r="F22" s="364" t="str">
        <f>HLOOKUP(Comb_scrd[[#Headers],[IBM Security Network Protection XGS 5100]],PAR_scrd[#All],22,FALSE)</f>
        <v>PASS</v>
      </c>
      <c r="G22" s="364" t="str">
        <f>HLOOKUP(Comb_scrd[[#Headers],[IBM Security Network Protection XGS 7100]],PAR_scrd[#All],22,FALSE)</f>
        <v>PASS</v>
      </c>
      <c r="H22" s="364" t="str">
        <f>HLOOKUP(Comb_scrd[[#Headers],[Palo Alto Networks PA-5020]],PAR_scrd[#All],22,FALSE)</f>
        <v>PASS</v>
      </c>
    </row>
    <row r="23" spans="1:8" ht="12.75">
      <c r="A23" s="330">
        <v>3.5</v>
      </c>
      <c r="B23" s="330" t="s">
        <v>511</v>
      </c>
      <c r="C23" s="363"/>
      <c r="D23" s="363"/>
      <c r="E23" s="363"/>
      <c r="F23" s="363"/>
      <c r="G23" s="363"/>
      <c r="H23" s="363"/>
    </row>
    <row r="24" spans="1:8" ht="12.75">
      <c r="A24" s="331" t="s">
        <v>475</v>
      </c>
      <c r="B24" s="332" t="s">
        <v>512</v>
      </c>
      <c r="C24" s="364" t="str">
        <f>HLOOKUP(Comb_scrd[[#Headers],[Cisco FirePOWER 8350]],PAR_scrd[#All],24,FALSE)</f>
        <v>PASS</v>
      </c>
      <c r="D24" s="364" t="str">
        <f>HLOOKUP(Comb_scrd[[#Headers],[Fortinet FortiGate-1500D]],PAR_scrd[#All],24,FALSE)</f>
        <v>N/A</v>
      </c>
      <c r="E24" s="364" t="str">
        <f>HLOOKUP(Comb_scrd[[#Headers],[HP TippingPoint S7500NX]],PAR_scrd[#All],24,FALSE)</f>
        <v>N/A</v>
      </c>
      <c r="F24" s="364" t="str">
        <f>HLOOKUP(Comb_scrd[[#Headers],[IBM Security Network Protection XGS 5100]],PAR_scrd[#All],24,FALSE)</f>
        <v>PASS</v>
      </c>
      <c r="G24" s="364" t="str">
        <f>HLOOKUP(Comb_scrd[[#Headers],[IBM Security Network Protection XGS 7100]],PAR_scrd[#All],24,FALSE)</f>
        <v>PASS</v>
      </c>
      <c r="H24" s="364" t="str">
        <f>HLOOKUP(Comb_scrd[[#Headers],[Palo Alto Networks PA-5020]],PAR_scrd[#All],24,FALSE)</f>
        <v>PASS</v>
      </c>
    </row>
    <row r="25" spans="1:8" ht="12.75">
      <c r="A25" s="331" t="s">
        <v>476</v>
      </c>
      <c r="B25" s="332" t="s">
        <v>513</v>
      </c>
      <c r="C25" s="364" t="str">
        <f>HLOOKUP(Comb_scrd[[#Headers],[Cisco FirePOWER 8350]],PAR_scrd[#All],25,FALSE)</f>
        <v>N/A</v>
      </c>
      <c r="D25" s="364" t="str">
        <f>HLOOKUP(Comb_scrd[[#Headers],[Fortinet FortiGate-1500D]],PAR_scrd[#All],25,FALSE)</f>
        <v>N/A</v>
      </c>
      <c r="E25" s="364" t="str">
        <f>HLOOKUP(Comb_scrd[[#Headers],[HP TippingPoint S7500NX]],PAR_scrd[#All],25,FALSE)</f>
        <v>N/A</v>
      </c>
      <c r="F25" s="364" t="str">
        <f>HLOOKUP(Comb_scrd[[#Headers],[IBM Security Network Protection XGS 5100]],PAR_scrd[#All],25,FALSE)</f>
        <v>N/A</v>
      </c>
      <c r="G25" s="364" t="str">
        <f>HLOOKUP(Comb_scrd[[#Headers],[IBM Security Network Protection XGS 7100]],PAR_scrd[#All],25,FALSE)</f>
        <v>N/A</v>
      </c>
      <c r="H25" s="364" t="str">
        <f>HLOOKUP(Comb_scrd[[#Headers],[Palo Alto Networks PA-5020]],PAR_scrd[#All],25,FALSE)</f>
        <v>N/A</v>
      </c>
    </row>
    <row r="26" spans="1:8" ht="12.75">
      <c r="A26" s="333">
        <v>3.6</v>
      </c>
      <c r="B26" s="333" t="s">
        <v>217</v>
      </c>
      <c r="C26" s="320"/>
      <c r="D26" s="320"/>
      <c r="E26" s="320"/>
      <c r="F26" s="320"/>
      <c r="G26" s="320"/>
      <c r="H26" s="320"/>
    </row>
    <row r="27" spans="1:8" ht="12.75">
      <c r="A27" s="323" t="s">
        <v>514</v>
      </c>
      <c r="B27" s="323" t="s">
        <v>218</v>
      </c>
      <c r="C27" s="370">
        <f>HLOOKUP(Comb_scrd[[#Headers],[Cisco FirePOWER 8350]],PAR_scrd[#All],27,FALSE)</f>
        <v>1</v>
      </c>
      <c r="D27" s="370">
        <f>HLOOKUP(Comb_scrd[[#Headers],[Fortinet FortiGate-1500D]],PAR_scrd[#All],27,FALSE)</f>
        <v>1</v>
      </c>
      <c r="E27" s="370">
        <f>HLOOKUP(Comb_scrd[[#Headers],[HP TippingPoint S7500NX]],PAR_scrd[#All],27,FALSE)</f>
        <v>1</v>
      </c>
      <c r="F27" s="370">
        <f>HLOOKUP(Comb_scrd[[#Headers],[IBM Security Network Protection XGS 5100]],PAR_scrd[#All],27,FALSE)</f>
        <v>1</v>
      </c>
      <c r="G27" s="370">
        <f>HLOOKUP(Comb_scrd[[#Headers],[IBM Security Network Protection XGS 7100]],PAR_scrd[#All],27,FALSE)</f>
        <v>1</v>
      </c>
      <c r="H27" s="370">
        <f>HLOOKUP(Comb_scrd[[#Headers],[Palo Alto Networks PA-5020]],PAR_scrd[#All],27,FALSE)</f>
        <v>1</v>
      </c>
    </row>
    <row r="28" spans="1:8" ht="12.75">
      <c r="A28" s="327" t="s">
        <v>515</v>
      </c>
      <c r="B28" s="327" t="s">
        <v>185</v>
      </c>
      <c r="C28" s="371">
        <f>HLOOKUP(Comb_scrd[[#Headers],[Cisco FirePOWER 8350]],PAR_scrd[#All],28,FALSE)</f>
        <v>1</v>
      </c>
      <c r="D28" s="371">
        <f>HLOOKUP(Comb_scrd[[#Headers],[Fortinet FortiGate-1500D]],PAR_scrd[#All],28,FALSE)</f>
        <v>1</v>
      </c>
      <c r="E28" s="371">
        <f>HLOOKUP(Comb_scrd[[#Headers],[HP TippingPoint S7500NX]],PAR_scrd[#All],28,FALSE)</f>
        <v>1</v>
      </c>
      <c r="F28" s="371">
        <f>HLOOKUP(Comb_scrd[[#Headers],[IBM Security Network Protection XGS 5100]],PAR_scrd[#All],28,FALSE)</f>
        <v>1</v>
      </c>
      <c r="G28" s="371">
        <f>HLOOKUP(Comb_scrd[[#Headers],[IBM Security Network Protection XGS 7100]],PAR_scrd[#All],28,FALSE)</f>
        <v>1</v>
      </c>
      <c r="H28" s="371">
        <f>HLOOKUP(Comb_scrd[[#Headers],[Palo Alto Networks PA-5020]],PAR_scrd[#All],28,FALSE)</f>
        <v>1</v>
      </c>
    </row>
    <row r="29" spans="1:8" ht="12.75">
      <c r="A29" s="329" t="s">
        <v>516</v>
      </c>
      <c r="B29" s="329" t="s">
        <v>219</v>
      </c>
      <c r="C29" s="367">
        <f>HLOOKUP(Comb_scrd[[#Headers],[Cisco FirePOWER 8350]],PAR_scrd[#All],29,FALSE)</f>
        <v>1</v>
      </c>
      <c r="D29" s="367">
        <f>HLOOKUP(Comb_scrd[[#Headers],[Fortinet FortiGate-1500D]],PAR_scrd[#All],29,FALSE)</f>
        <v>1</v>
      </c>
      <c r="E29" s="367">
        <f>HLOOKUP(Comb_scrd[[#Headers],[HP TippingPoint S7500NX]],PAR_scrd[#All],29,FALSE)</f>
        <v>1</v>
      </c>
      <c r="F29" s="367">
        <f>HLOOKUP(Comb_scrd[[#Headers],[IBM Security Network Protection XGS 5100]],PAR_scrd[#All],29,FALSE)</f>
        <v>1</v>
      </c>
      <c r="G29" s="367">
        <f>HLOOKUP(Comb_scrd[[#Headers],[IBM Security Network Protection XGS 7100]],PAR_scrd[#All],29,FALSE)</f>
        <v>1</v>
      </c>
      <c r="H29" s="367">
        <f>HLOOKUP(Comb_scrd[[#Headers],[Palo Alto Networks PA-5020]],PAR_scrd[#All],29,FALSE)</f>
        <v>1</v>
      </c>
    </row>
    <row r="30" spans="1:8" ht="12.75">
      <c r="A30" s="329" t="s">
        <v>517</v>
      </c>
      <c r="B30" s="329" t="s">
        <v>220</v>
      </c>
      <c r="C30" s="367">
        <f>HLOOKUP(Comb_scrd[[#Headers],[Cisco FirePOWER 8350]],PAR_scrd[#All],30,FALSE)</f>
        <v>1</v>
      </c>
      <c r="D30" s="367">
        <f>HLOOKUP(Comb_scrd[[#Headers],[Fortinet FortiGate-1500D]],PAR_scrd[#All],30,FALSE)</f>
        <v>1</v>
      </c>
      <c r="E30" s="367">
        <f>HLOOKUP(Comb_scrd[[#Headers],[HP TippingPoint S7500NX]],PAR_scrd[#All],30,FALSE)</f>
        <v>1</v>
      </c>
      <c r="F30" s="367">
        <f>HLOOKUP(Comb_scrd[[#Headers],[IBM Security Network Protection XGS 5100]],PAR_scrd[#All],30,FALSE)</f>
        <v>1</v>
      </c>
      <c r="G30" s="367">
        <f>HLOOKUP(Comb_scrd[[#Headers],[IBM Security Network Protection XGS 7100]],PAR_scrd[#All],30,FALSE)</f>
        <v>1</v>
      </c>
      <c r="H30" s="367">
        <f>HLOOKUP(Comb_scrd[[#Headers],[Palo Alto Networks PA-5020]],PAR_scrd[#All],30,FALSE)</f>
        <v>1</v>
      </c>
    </row>
    <row r="31" spans="1:8" ht="12.75">
      <c r="A31" s="329" t="s">
        <v>518</v>
      </c>
      <c r="B31" s="329" t="s">
        <v>221</v>
      </c>
      <c r="C31" s="367">
        <f>HLOOKUP(Comb_scrd[[#Headers],[Cisco FirePOWER 8350]],PAR_scrd[#All],31,FALSE)</f>
        <v>1</v>
      </c>
      <c r="D31" s="367">
        <f>HLOOKUP(Comb_scrd[[#Headers],[Fortinet FortiGate-1500D]],PAR_scrd[#All],31,FALSE)</f>
        <v>1</v>
      </c>
      <c r="E31" s="367">
        <f>HLOOKUP(Comb_scrd[[#Headers],[HP TippingPoint S7500NX]],PAR_scrd[#All],31,FALSE)</f>
        <v>1</v>
      </c>
      <c r="F31" s="367">
        <f>HLOOKUP(Comb_scrd[[#Headers],[IBM Security Network Protection XGS 5100]],PAR_scrd[#All],31,FALSE)</f>
        <v>1</v>
      </c>
      <c r="G31" s="367">
        <f>HLOOKUP(Comb_scrd[[#Headers],[IBM Security Network Protection XGS 7100]],PAR_scrd[#All],31,FALSE)</f>
        <v>1</v>
      </c>
      <c r="H31" s="367">
        <f>HLOOKUP(Comb_scrd[[#Headers],[Palo Alto Networks PA-5020]],PAR_scrd[#All],31,FALSE)</f>
        <v>1</v>
      </c>
    </row>
    <row r="32" spans="1:8" ht="12.75">
      <c r="A32" s="329" t="s">
        <v>519</v>
      </c>
      <c r="B32" s="329" t="s">
        <v>222</v>
      </c>
      <c r="C32" s="367">
        <f>HLOOKUP(Comb_scrd[[#Headers],[Cisco FirePOWER 8350]],PAR_scrd[#All],32,FALSE)</f>
        <v>1</v>
      </c>
      <c r="D32" s="367">
        <f>HLOOKUP(Comb_scrd[[#Headers],[Fortinet FortiGate-1500D]],PAR_scrd[#All],32,FALSE)</f>
        <v>1</v>
      </c>
      <c r="E32" s="367">
        <f>HLOOKUP(Comb_scrd[[#Headers],[HP TippingPoint S7500NX]],PAR_scrd[#All],32,FALSE)</f>
        <v>1</v>
      </c>
      <c r="F32" s="367">
        <f>HLOOKUP(Comb_scrd[[#Headers],[IBM Security Network Protection XGS 5100]],PAR_scrd[#All],32,FALSE)</f>
        <v>1</v>
      </c>
      <c r="G32" s="367">
        <f>HLOOKUP(Comb_scrd[[#Headers],[IBM Security Network Protection XGS 7100]],PAR_scrd[#All],32,FALSE)</f>
        <v>1</v>
      </c>
      <c r="H32" s="367">
        <f>HLOOKUP(Comb_scrd[[#Headers],[Palo Alto Networks PA-5020]],PAR_scrd[#All],32,FALSE)</f>
        <v>1</v>
      </c>
    </row>
    <row r="33" spans="1:8" ht="12.75">
      <c r="A33" s="329" t="s">
        <v>520</v>
      </c>
      <c r="B33" s="329" t="s">
        <v>223</v>
      </c>
      <c r="C33" s="367">
        <f>HLOOKUP(Comb_scrd[[#Headers],[Cisco FirePOWER 8350]],PAR_scrd[#All],33,FALSE)</f>
        <v>1</v>
      </c>
      <c r="D33" s="367">
        <f>HLOOKUP(Comb_scrd[[#Headers],[Fortinet FortiGate-1500D]],PAR_scrd[#All],33,FALSE)</f>
        <v>1</v>
      </c>
      <c r="E33" s="367">
        <f>HLOOKUP(Comb_scrd[[#Headers],[HP TippingPoint S7500NX]],PAR_scrd[#All],33,FALSE)</f>
        <v>1</v>
      </c>
      <c r="F33" s="367">
        <f>HLOOKUP(Comb_scrd[[#Headers],[IBM Security Network Protection XGS 5100]],PAR_scrd[#All],33,FALSE)</f>
        <v>1</v>
      </c>
      <c r="G33" s="367">
        <f>HLOOKUP(Comb_scrd[[#Headers],[IBM Security Network Protection XGS 7100]],PAR_scrd[#All],33,FALSE)</f>
        <v>1</v>
      </c>
      <c r="H33" s="367">
        <f>HLOOKUP(Comb_scrd[[#Headers],[Palo Alto Networks PA-5020]],PAR_scrd[#All],33,FALSE)</f>
        <v>1</v>
      </c>
    </row>
    <row r="34" spans="1:8" ht="12.75">
      <c r="A34" s="329" t="s">
        <v>521</v>
      </c>
      <c r="B34" s="329" t="s">
        <v>224</v>
      </c>
      <c r="C34" s="367">
        <f>HLOOKUP(Comb_scrd[[#Headers],[Cisco FirePOWER 8350]],PAR_scrd[#All],34,FALSE)</f>
        <v>1</v>
      </c>
      <c r="D34" s="367">
        <f>HLOOKUP(Comb_scrd[[#Headers],[Fortinet FortiGate-1500D]],PAR_scrd[#All],34,FALSE)</f>
        <v>1</v>
      </c>
      <c r="E34" s="367">
        <f>HLOOKUP(Comb_scrd[[#Headers],[HP TippingPoint S7500NX]],PAR_scrd[#All],34,FALSE)</f>
        <v>1</v>
      </c>
      <c r="F34" s="367">
        <f>HLOOKUP(Comb_scrd[[#Headers],[IBM Security Network Protection XGS 5100]],PAR_scrd[#All],34,FALSE)</f>
        <v>1</v>
      </c>
      <c r="G34" s="367">
        <f>HLOOKUP(Comb_scrd[[#Headers],[IBM Security Network Protection XGS 7100]],PAR_scrd[#All],34,FALSE)</f>
        <v>1</v>
      </c>
      <c r="H34" s="367">
        <f>HLOOKUP(Comb_scrd[[#Headers],[Palo Alto Networks PA-5020]],PAR_scrd[#All],34,FALSE)</f>
        <v>1</v>
      </c>
    </row>
    <row r="35" spans="1:8" ht="12.75">
      <c r="A35" s="329" t="s">
        <v>522</v>
      </c>
      <c r="B35" s="331" t="s">
        <v>225</v>
      </c>
      <c r="C35" s="367">
        <f>HLOOKUP(Comb_scrd[[#Headers],[Cisco FirePOWER 8350]],PAR_scrd[#All],35,FALSE)</f>
        <v>1</v>
      </c>
      <c r="D35" s="367">
        <f>HLOOKUP(Comb_scrd[[#Headers],[Fortinet FortiGate-1500D]],PAR_scrd[#All],35,FALSE)</f>
        <v>1</v>
      </c>
      <c r="E35" s="367">
        <f>HLOOKUP(Comb_scrd[[#Headers],[HP TippingPoint S7500NX]],PAR_scrd[#All],35,FALSE)</f>
        <v>1</v>
      </c>
      <c r="F35" s="367">
        <f>HLOOKUP(Comb_scrd[[#Headers],[IBM Security Network Protection XGS 5100]],PAR_scrd[#All],35,FALSE)</f>
        <v>1</v>
      </c>
      <c r="G35" s="367">
        <f>HLOOKUP(Comb_scrd[[#Headers],[IBM Security Network Protection XGS 7100]],PAR_scrd[#All],35,FALSE)</f>
        <v>1</v>
      </c>
      <c r="H35" s="367">
        <f>HLOOKUP(Comb_scrd[[#Headers],[Palo Alto Networks PA-5020]],PAR_scrd[#All],35,FALSE)</f>
        <v>1</v>
      </c>
    </row>
    <row r="36" spans="1:8" ht="12.75">
      <c r="A36" s="329" t="s">
        <v>523</v>
      </c>
      <c r="B36" s="331" t="s">
        <v>226</v>
      </c>
      <c r="C36" s="367">
        <f>HLOOKUP(Comb_scrd[[#Headers],[Cisco FirePOWER 8350]],PAR_scrd[#All],36,FALSE)</f>
        <v>1</v>
      </c>
      <c r="D36" s="367">
        <f>HLOOKUP(Comb_scrd[[#Headers],[Fortinet FortiGate-1500D]],PAR_scrd[#All],36,FALSE)</f>
        <v>1</v>
      </c>
      <c r="E36" s="367">
        <f>HLOOKUP(Comb_scrd[[#Headers],[HP TippingPoint S7500NX]],PAR_scrd[#All],36,FALSE)</f>
        <v>1</v>
      </c>
      <c r="F36" s="367">
        <f>HLOOKUP(Comb_scrd[[#Headers],[IBM Security Network Protection XGS 5100]],PAR_scrd[#All],36,FALSE)</f>
        <v>1</v>
      </c>
      <c r="G36" s="367">
        <f>HLOOKUP(Comb_scrd[[#Headers],[IBM Security Network Protection XGS 7100]],PAR_scrd[#All],36,FALSE)</f>
        <v>1</v>
      </c>
      <c r="H36" s="367">
        <f>HLOOKUP(Comb_scrd[[#Headers],[Palo Alto Networks PA-5020]],PAR_scrd[#All],36,FALSE)</f>
        <v>1</v>
      </c>
    </row>
    <row r="37" spans="1:8" ht="12.75">
      <c r="A37" s="329" t="s">
        <v>524</v>
      </c>
      <c r="B37" s="331" t="s">
        <v>227</v>
      </c>
      <c r="C37" s="367">
        <f>HLOOKUP(Comb_scrd[[#Headers],[Cisco FirePOWER 8350]],PAR_scrd[#All],37,FALSE)</f>
        <v>1</v>
      </c>
      <c r="D37" s="367">
        <f>HLOOKUP(Comb_scrd[[#Headers],[Fortinet FortiGate-1500D]],PAR_scrd[#All],37,FALSE)</f>
        <v>1</v>
      </c>
      <c r="E37" s="367">
        <f>HLOOKUP(Comb_scrd[[#Headers],[HP TippingPoint S7500NX]],PAR_scrd[#All],37,FALSE)</f>
        <v>1</v>
      </c>
      <c r="F37" s="367">
        <f>HLOOKUP(Comb_scrd[[#Headers],[IBM Security Network Protection XGS 5100]],PAR_scrd[#All],37,FALSE)</f>
        <v>1</v>
      </c>
      <c r="G37" s="367">
        <f>HLOOKUP(Comb_scrd[[#Headers],[IBM Security Network Protection XGS 7100]],PAR_scrd[#All],37,FALSE)</f>
        <v>1</v>
      </c>
      <c r="H37" s="367">
        <f>HLOOKUP(Comb_scrd[[#Headers],[Palo Alto Networks PA-5020]],PAR_scrd[#All],37,FALSE)</f>
        <v>1</v>
      </c>
    </row>
    <row r="38" spans="1:8" ht="12.75">
      <c r="A38" s="329" t="s">
        <v>525</v>
      </c>
      <c r="B38" s="331" t="s">
        <v>228</v>
      </c>
      <c r="C38" s="367">
        <f>HLOOKUP(Comb_scrd[[#Headers],[Cisco FirePOWER 8350]],PAR_scrd[#All],38,FALSE)</f>
        <v>1</v>
      </c>
      <c r="D38" s="367">
        <f>HLOOKUP(Comb_scrd[[#Headers],[Fortinet FortiGate-1500D]],PAR_scrd[#All],38,FALSE)</f>
        <v>1</v>
      </c>
      <c r="E38" s="367">
        <f>HLOOKUP(Comb_scrd[[#Headers],[HP TippingPoint S7500NX]],PAR_scrd[#All],38,FALSE)</f>
        <v>1</v>
      </c>
      <c r="F38" s="367">
        <f>HLOOKUP(Comb_scrd[[#Headers],[IBM Security Network Protection XGS 5100]],PAR_scrd[#All],38,FALSE)</f>
        <v>1</v>
      </c>
      <c r="G38" s="367">
        <f>HLOOKUP(Comb_scrd[[#Headers],[IBM Security Network Protection XGS 7100]],PAR_scrd[#All],38,FALSE)</f>
        <v>1</v>
      </c>
      <c r="H38" s="367">
        <f>HLOOKUP(Comb_scrd[[#Headers],[Palo Alto Networks PA-5020]],PAR_scrd[#All],38,FALSE)</f>
        <v>1</v>
      </c>
    </row>
    <row r="39" spans="1:8" ht="12.75">
      <c r="A39" s="329" t="s">
        <v>526</v>
      </c>
      <c r="B39" s="331" t="s">
        <v>229</v>
      </c>
      <c r="C39" s="367">
        <f>HLOOKUP(Comb_scrd[[#Headers],[Cisco FirePOWER 8350]],PAR_scrd[#All],39,FALSE)</f>
        <v>1</v>
      </c>
      <c r="D39" s="367">
        <f>HLOOKUP(Comb_scrd[[#Headers],[Fortinet FortiGate-1500D]],PAR_scrd[#All],39,FALSE)</f>
        <v>1</v>
      </c>
      <c r="E39" s="367">
        <f>HLOOKUP(Comb_scrd[[#Headers],[HP TippingPoint S7500NX]],PAR_scrd[#All],39,FALSE)</f>
        <v>1</v>
      </c>
      <c r="F39" s="367">
        <f>HLOOKUP(Comb_scrd[[#Headers],[IBM Security Network Protection XGS 5100]],PAR_scrd[#All],39,FALSE)</f>
        <v>1</v>
      </c>
      <c r="G39" s="367">
        <f>HLOOKUP(Comb_scrd[[#Headers],[IBM Security Network Protection XGS 7100]],PAR_scrd[#All],39,FALSE)</f>
        <v>1</v>
      </c>
      <c r="H39" s="367">
        <f>HLOOKUP(Comb_scrd[[#Headers],[Palo Alto Networks PA-5020]],PAR_scrd[#All],39,FALSE)</f>
        <v>1</v>
      </c>
    </row>
    <row r="40" spans="1:8" ht="12.75">
      <c r="A40" s="329" t="s">
        <v>527</v>
      </c>
      <c r="B40" s="331" t="s">
        <v>230</v>
      </c>
      <c r="C40" s="367">
        <f>HLOOKUP(Comb_scrd[[#Headers],[Cisco FirePOWER 8350]],PAR_scrd[#All],40,FALSE)</f>
        <v>1</v>
      </c>
      <c r="D40" s="367">
        <f>HLOOKUP(Comb_scrd[[#Headers],[Fortinet FortiGate-1500D]],PAR_scrd[#All],40,FALSE)</f>
        <v>1</v>
      </c>
      <c r="E40" s="367">
        <f>HLOOKUP(Comb_scrd[[#Headers],[HP TippingPoint S7500NX]],PAR_scrd[#All],40,FALSE)</f>
        <v>1</v>
      </c>
      <c r="F40" s="367">
        <f>HLOOKUP(Comb_scrd[[#Headers],[IBM Security Network Protection XGS 5100]],PAR_scrd[#All],40,FALSE)</f>
        <v>1</v>
      </c>
      <c r="G40" s="367">
        <f>HLOOKUP(Comb_scrd[[#Headers],[IBM Security Network Protection XGS 7100]],PAR_scrd[#All],40,FALSE)</f>
        <v>1</v>
      </c>
      <c r="H40" s="367">
        <f>HLOOKUP(Comb_scrd[[#Headers],[Palo Alto Networks PA-5020]],PAR_scrd[#All],40,FALSE)</f>
        <v>1</v>
      </c>
    </row>
    <row r="41" spans="1:8" ht="12.75">
      <c r="A41" s="329" t="s">
        <v>528</v>
      </c>
      <c r="B41" s="331" t="s">
        <v>231</v>
      </c>
      <c r="C41" s="367">
        <f>HLOOKUP(Comb_scrd[[#Headers],[Cisco FirePOWER 8350]],PAR_scrd[#All],41,FALSE)</f>
        <v>1</v>
      </c>
      <c r="D41" s="367">
        <f>HLOOKUP(Comb_scrd[[#Headers],[Fortinet FortiGate-1500D]],PAR_scrd[#All],41,FALSE)</f>
        <v>1</v>
      </c>
      <c r="E41" s="367">
        <f>HLOOKUP(Comb_scrd[[#Headers],[HP TippingPoint S7500NX]],PAR_scrd[#All],41,FALSE)</f>
        <v>1</v>
      </c>
      <c r="F41" s="367">
        <f>HLOOKUP(Comb_scrd[[#Headers],[IBM Security Network Protection XGS 5100]],PAR_scrd[#All],41,FALSE)</f>
        <v>1</v>
      </c>
      <c r="G41" s="367">
        <f>HLOOKUP(Comb_scrd[[#Headers],[IBM Security Network Protection XGS 7100]],PAR_scrd[#All],41,FALSE)</f>
        <v>1</v>
      </c>
      <c r="H41" s="367">
        <f>HLOOKUP(Comb_scrd[[#Headers],[Palo Alto Networks PA-5020]],PAR_scrd[#All],41,FALSE)</f>
        <v>1</v>
      </c>
    </row>
    <row r="42" spans="1:8" ht="12.75">
      <c r="A42" s="329" t="s">
        <v>529</v>
      </c>
      <c r="B42" s="331" t="s">
        <v>232</v>
      </c>
      <c r="C42" s="367">
        <f>HLOOKUP(Comb_scrd[[#Headers],[Cisco FirePOWER 8350]],PAR_scrd[#All],42,FALSE)</f>
        <v>1</v>
      </c>
      <c r="D42" s="367">
        <f>HLOOKUP(Comb_scrd[[#Headers],[Fortinet FortiGate-1500D]],PAR_scrd[#All],42,FALSE)</f>
        <v>1</v>
      </c>
      <c r="E42" s="367">
        <f>HLOOKUP(Comb_scrd[[#Headers],[HP TippingPoint S7500NX]],PAR_scrd[#All],42,FALSE)</f>
        <v>1</v>
      </c>
      <c r="F42" s="367">
        <f>HLOOKUP(Comb_scrd[[#Headers],[IBM Security Network Protection XGS 5100]],PAR_scrd[#All],42,FALSE)</f>
        <v>1</v>
      </c>
      <c r="G42" s="367">
        <f>HLOOKUP(Comb_scrd[[#Headers],[IBM Security Network Protection XGS 7100]],PAR_scrd[#All],42,FALSE)</f>
        <v>1</v>
      </c>
      <c r="H42" s="367">
        <f>HLOOKUP(Comb_scrd[[#Headers],[Palo Alto Networks PA-5020]],PAR_scrd[#All],42,FALSE)</f>
        <v>1</v>
      </c>
    </row>
    <row r="43" spans="1:8" ht="12.75">
      <c r="A43" s="329" t="s">
        <v>530</v>
      </c>
      <c r="B43" s="331" t="s">
        <v>233</v>
      </c>
      <c r="C43" s="367">
        <f>HLOOKUP(Comb_scrd[[#Headers],[Cisco FirePOWER 8350]],PAR_scrd[#All],43,FALSE)</f>
        <v>1</v>
      </c>
      <c r="D43" s="367">
        <f>HLOOKUP(Comb_scrd[[#Headers],[Fortinet FortiGate-1500D]],PAR_scrd[#All],43,FALSE)</f>
        <v>1</v>
      </c>
      <c r="E43" s="367">
        <f>HLOOKUP(Comb_scrd[[#Headers],[HP TippingPoint S7500NX]],PAR_scrd[#All],43,FALSE)</f>
        <v>1</v>
      </c>
      <c r="F43" s="367">
        <f>HLOOKUP(Comb_scrd[[#Headers],[IBM Security Network Protection XGS 5100]],PAR_scrd[#All],43,FALSE)</f>
        <v>1</v>
      </c>
      <c r="G43" s="367">
        <f>HLOOKUP(Comb_scrd[[#Headers],[IBM Security Network Protection XGS 7100]],PAR_scrd[#All],43,FALSE)</f>
        <v>1</v>
      </c>
      <c r="H43" s="367">
        <f>HLOOKUP(Comb_scrd[[#Headers],[Palo Alto Networks PA-5020]],PAR_scrd[#All],43,FALSE)</f>
        <v>1</v>
      </c>
    </row>
    <row r="44" spans="1:8" ht="12.75">
      <c r="A44" s="327" t="s">
        <v>531</v>
      </c>
      <c r="B44" s="327" t="s">
        <v>186</v>
      </c>
      <c r="C44" s="371">
        <f>HLOOKUP(Comb_scrd[[#Headers],[Cisco FirePOWER 8350]],PAR_scrd[#All],44,FALSE)</f>
        <v>1</v>
      </c>
      <c r="D44" s="371">
        <f>HLOOKUP(Comb_scrd[[#Headers],[Fortinet FortiGate-1500D]],PAR_scrd[#All],44,FALSE)</f>
        <v>1</v>
      </c>
      <c r="E44" s="371">
        <f>HLOOKUP(Comb_scrd[[#Headers],[HP TippingPoint S7500NX]],PAR_scrd[#All],44,FALSE)</f>
        <v>1</v>
      </c>
      <c r="F44" s="371">
        <f>HLOOKUP(Comb_scrd[[#Headers],[IBM Security Network Protection XGS 5100]],PAR_scrd[#All],44,FALSE)</f>
        <v>1</v>
      </c>
      <c r="G44" s="371">
        <f>HLOOKUP(Comb_scrd[[#Headers],[IBM Security Network Protection XGS 7100]],PAR_scrd[#All],44,FALSE)</f>
        <v>1</v>
      </c>
      <c r="H44" s="371">
        <f>HLOOKUP(Comb_scrd[[#Headers],[Palo Alto Networks PA-5020]],PAR_scrd[#All],44,FALSE)</f>
        <v>1</v>
      </c>
    </row>
    <row r="45" spans="1:8" ht="12.75">
      <c r="A45" s="329" t="s">
        <v>532</v>
      </c>
      <c r="B45" s="329" t="s">
        <v>234</v>
      </c>
      <c r="C45" s="367">
        <f>HLOOKUP(Comb_scrd[[#Headers],[Cisco FirePOWER 8350]],PAR_scrd[#All],45,FALSE)</f>
        <v>1</v>
      </c>
      <c r="D45" s="367">
        <f>HLOOKUP(Comb_scrd[[#Headers],[Fortinet FortiGate-1500D]],PAR_scrd[#All],45,FALSE)</f>
        <v>1</v>
      </c>
      <c r="E45" s="367">
        <f>HLOOKUP(Comb_scrd[[#Headers],[HP TippingPoint S7500NX]],PAR_scrd[#All],45,FALSE)</f>
        <v>1</v>
      </c>
      <c r="F45" s="367">
        <f>HLOOKUP(Comb_scrd[[#Headers],[IBM Security Network Protection XGS 5100]],PAR_scrd[#All],45,FALSE)</f>
        <v>1</v>
      </c>
      <c r="G45" s="367">
        <f>HLOOKUP(Comb_scrd[[#Headers],[IBM Security Network Protection XGS 7100]],PAR_scrd[#All],45,FALSE)</f>
        <v>1</v>
      </c>
      <c r="H45" s="367">
        <f>HLOOKUP(Comb_scrd[[#Headers],[Palo Alto Networks PA-5020]],PAR_scrd[#All],45,FALSE)</f>
        <v>1</v>
      </c>
    </row>
    <row r="46" spans="1:8" ht="12.75">
      <c r="A46" s="329" t="s">
        <v>533</v>
      </c>
      <c r="B46" s="329" t="s">
        <v>235</v>
      </c>
      <c r="C46" s="367">
        <f>HLOOKUP(Comb_scrd[[#Headers],[Cisco FirePOWER 8350]],PAR_scrd[#All],46,FALSE)</f>
        <v>1</v>
      </c>
      <c r="D46" s="367">
        <f>HLOOKUP(Comb_scrd[[#Headers],[Fortinet FortiGate-1500D]],PAR_scrd[#All],46,FALSE)</f>
        <v>1</v>
      </c>
      <c r="E46" s="367">
        <f>HLOOKUP(Comb_scrd[[#Headers],[HP TippingPoint S7500NX]],PAR_scrd[#All],46,FALSE)</f>
        <v>1</v>
      </c>
      <c r="F46" s="367">
        <f>HLOOKUP(Comb_scrd[[#Headers],[IBM Security Network Protection XGS 5100]],PAR_scrd[#All],46,FALSE)</f>
        <v>1</v>
      </c>
      <c r="G46" s="367">
        <f>HLOOKUP(Comb_scrd[[#Headers],[IBM Security Network Protection XGS 7100]],PAR_scrd[#All],46,FALSE)</f>
        <v>1</v>
      </c>
      <c r="H46" s="367">
        <f>HLOOKUP(Comb_scrd[[#Headers],[Palo Alto Networks PA-5020]],PAR_scrd[#All],46,FALSE)</f>
        <v>1</v>
      </c>
    </row>
    <row r="47" spans="1:8" ht="12.75">
      <c r="A47" s="329" t="s">
        <v>534</v>
      </c>
      <c r="B47" s="331" t="s">
        <v>236</v>
      </c>
      <c r="C47" s="367">
        <f>HLOOKUP(Comb_scrd[[#Headers],[Cisco FirePOWER 8350]],PAR_scrd[#All],47,FALSE)</f>
        <v>1</v>
      </c>
      <c r="D47" s="367">
        <f>HLOOKUP(Comb_scrd[[#Headers],[Fortinet FortiGate-1500D]],PAR_scrd[#All],47,FALSE)</f>
        <v>1</v>
      </c>
      <c r="E47" s="367">
        <f>HLOOKUP(Comb_scrd[[#Headers],[HP TippingPoint S7500NX]],PAR_scrd[#All],47,FALSE)</f>
        <v>1</v>
      </c>
      <c r="F47" s="367">
        <f>HLOOKUP(Comb_scrd[[#Headers],[IBM Security Network Protection XGS 5100]],PAR_scrd[#All],47,FALSE)</f>
        <v>1</v>
      </c>
      <c r="G47" s="367">
        <f>HLOOKUP(Comb_scrd[[#Headers],[IBM Security Network Protection XGS 7100]],PAR_scrd[#All],47,FALSE)</f>
        <v>1</v>
      </c>
      <c r="H47" s="367">
        <f>HLOOKUP(Comb_scrd[[#Headers],[Palo Alto Networks PA-5020]],PAR_scrd[#All],47,FALSE)</f>
        <v>1</v>
      </c>
    </row>
    <row r="48" spans="1:8" ht="12.75">
      <c r="A48" s="329" t="s">
        <v>535</v>
      </c>
      <c r="B48" s="331" t="s">
        <v>237</v>
      </c>
      <c r="C48" s="367">
        <f>HLOOKUP(Comb_scrd[[#Headers],[Cisco FirePOWER 8350]],PAR_scrd[#All],48,FALSE)</f>
        <v>1</v>
      </c>
      <c r="D48" s="367">
        <f>HLOOKUP(Comb_scrd[[#Headers],[Fortinet FortiGate-1500D]],PAR_scrd[#All],48,FALSE)</f>
        <v>1</v>
      </c>
      <c r="E48" s="367">
        <f>HLOOKUP(Comb_scrd[[#Headers],[HP TippingPoint S7500NX]],PAR_scrd[#All],48,FALSE)</f>
        <v>1</v>
      </c>
      <c r="F48" s="367">
        <f>HLOOKUP(Comb_scrd[[#Headers],[IBM Security Network Protection XGS 5100]],PAR_scrd[#All],48,FALSE)</f>
        <v>1</v>
      </c>
      <c r="G48" s="367">
        <f>HLOOKUP(Comb_scrd[[#Headers],[IBM Security Network Protection XGS 7100]],PAR_scrd[#All],48,FALSE)</f>
        <v>1</v>
      </c>
      <c r="H48" s="367">
        <f>HLOOKUP(Comb_scrd[[#Headers],[Palo Alto Networks PA-5020]],PAR_scrd[#All],48,FALSE)</f>
        <v>1</v>
      </c>
    </row>
    <row r="49" spans="1:8" ht="12.75">
      <c r="A49" s="329" t="s">
        <v>536</v>
      </c>
      <c r="B49" s="331" t="s">
        <v>238</v>
      </c>
      <c r="C49" s="367">
        <f>HLOOKUP(Comb_scrd[[#Headers],[Cisco FirePOWER 8350]],PAR_scrd[#All],49,FALSE)</f>
        <v>1</v>
      </c>
      <c r="D49" s="367">
        <f>HLOOKUP(Comb_scrd[[#Headers],[Fortinet FortiGate-1500D]],PAR_scrd[#All],49,FALSE)</f>
        <v>1</v>
      </c>
      <c r="E49" s="367">
        <f>HLOOKUP(Comb_scrd[[#Headers],[HP TippingPoint S7500NX]],PAR_scrd[#All],49,FALSE)</f>
        <v>1</v>
      </c>
      <c r="F49" s="367">
        <f>HLOOKUP(Comb_scrd[[#Headers],[IBM Security Network Protection XGS 5100]],PAR_scrd[#All],49,FALSE)</f>
        <v>1</v>
      </c>
      <c r="G49" s="367">
        <f>HLOOKUP(Comb_scrd[[#Headers],[IBM Security Network Protection XGS 7100]],PAR_scrd[#All],49,FALSE)</f>
        <v>1</v>
      </c>
      <c r="H49" s="367">
        <f>HLOOKUP(Comb_scrd[[#Headers],[Palo Alto Networks PA-5020]],PAR_scrd[#All],49,FALSE)</f>
        <v>1</v>
      </c>
    </row>
    <row r="50" spans="1:8" ht="12.75">
      <c r="A50" s="329" t="s">
        <v>537</v>
      </c>
      <c r="B50" s="331" t="s">
        <v>239</v>
      </c>
      <c r="C50" s="367">
        <f>HLOOKUP(Comb_scrd[[#Headers],[Cisco FirePOWER 8350]],PAR_scrd[#All],50,FALSE)</f>
        <v>1</v>
      </c>
      <c r="D50" s="367">
        <f>HLOOKUP(Comb_scrd[[#Headers],[Fortinet FortiGate-1500D]],PAR_scrd[#All],50,FALSE)</f>
        <v>1</v>
      </c>
      <c r="E50" s="367">
        <f>HLOOKUP(Comb_scrd[[#Headers],[HP TippingPoint S7500NX]],PAR_scrd[#All],50,FALSE)</f>
        <v>1</v>
      </c>
      <c r="F50" s="367">
        <f>HLOOKUP(Comb_scrd[[#Headers],[IBM Security Network Protection XGS 5100]],PAR_scrd[#All],50,FALSE)</f>
        <v>1</v>
      </c>
      <c r="G50" s="367">
        <f>HLOOKUP(Comb_scrd[[#Headers],[IBM Security Network Protection XGS 7100]],PAR_scrd[#All],50,FALSE)</f>
        <v>1</v>
      </c>
      <c r="H50" s="367">
        <f>HLOOKUP(Comb_scrd[[#Headers],[Palo Alto Networks PA-5020]],PAR_scrd[#All],50,FALSE)</f>
        <v>1</v>
      </c>
    </row>
    <row r="51" spans="1:8" ht="12.75">
      <c r="A51" s="329" t="s">
        <v>538</v>
      </c>
      <c r="B51" s="331" t="s">
        <v>240</v>
      </c>
      <c r="C51" s="367">
        <f>HLOOKUP(Comb_scrd[[#Headers],[Cisco FirePOWER 8350]],PAR_scrd[#All],51,FALSE)</f>
        <v>1</v>
      </c>
      <c r="D51" s="367">
        <f>HLOOKUP(Comb_scrd[[#Headers],[Fortinet FortiGate-1500D]],PAR_scrd[#All],51,FALSE)</f>
        <v>1</v>
      </c>
      <c r="E51" s="367">
        <f>HLOOKUP(Comb_scrd[[#Headers],[HP TippingPoint S7500NX]],PAR_scrd[#All],51,FALSE)</f>
        <v>1</v>
      </c>
      <c r="F51" s="367">
        <f>HLOOKUP(Comb_scrd[[#Headers],[IBM Security Network Protection XGS 5100]],PAR_scrd[#All],51,FALSE)</f>
        <v>1</v>
      </c>
      <c r="G51" s="367">
        <f>HLOOKUP(Comb_scrd[[#Headers],[IBM Security Network Protection XGS 7100]],PAR_scrd[#All],51,FALSE)</f>
        <v>1</v>
      </c>
      <c r="H51" s="367">
        <f>HLOOKUP(Comb_scrd[[#Headers],[Palo Alto Networks PA-5020]],PAR_scrd[#All],51,FALSE)</f>
        <v>1</v>
      </c>
    </row>
    <row r="52" spans="1:8" ht="12.75">
      <c r="A52" s="329" t="s">
        <v>539</v>
      </c>
      <c r="B52" s="331" t="s">
        <v>241</v>
      </c>
      <c r="C52" s="367">
        <f>HLOOKUP(Comb_scrd[[#Headers],[Cisco FirePOWER 8350]],PAR_scrd[#All],52,FALSE)</f>
        <v>1</v>
      </c>
      <c r="D52" s="367">
        <f>HLOOKUP(Comb_scrd[[#Headers],[Fortinet FortiGate-1500D]],PAR_scrd[#All],52,FALSE)</f>
        <v>1</v>
      </c>
      <c r="E52" s="367">
        <f>HLOOKUP(Comb_scrd[[#Headers],[HP TippingPoint S7500NX]],PAR_scrd[#All],52,FALSE)</f>
        <v>1</v>
      </c>
      <c r="F52" s="367">
        <f>HLOOKUP(Comb_scrd[[#Headers],[IBM Security Network Protection XGS 5100]],PAR_scrd[#All],52,FALSE)</f>
        <v>1</v>
      </c>
      <c r="G52" s="367">
        <f>HLOOKUP(Comb_scrd[[#Headers],[IBM Security Network Protection XGS 7100]],PAR_scrd[#All],52,FALSE)</f>
        <v>1</v>
      </c>
      <c r="H52" s="367">
        <f>HLOOKUP(Comb_scrd[[#Headers],[Palo Alto Networks PA-5020]],PAR_scrd[#All],52,FALSE)</f>
        <v>1</v>
      </c>
    </row>
    <row r="53" spans="1:8" ht="12.75">
      <c r="A53" s="329" t="s">
        <v>540</v>
      </c>
      <c r="B53" s="331" t="s">
        <v>242</v>
      </c>
      <c r="C53" s="367">
        <f>HLOOKUP(Comb_scrd[[#Headers],[Cisco FirePOWER 8350]],PAR_scrd[#All],53,FALSE)</f>
        <v>1</v>
      </c>
      <c r="D53" s="367">
        <f>HLOOKUP(Comb_scrd[[#Headers],[Fortinet FortiGate-1500D]],PAR_scrd[#All],53,FALSE)</f>
        <v>1</v>
      </c>
      <c r="E53" s="367">
        <f>HLOOKUP(Comb_scrd[[#Headers],[HP TippingPoint S7500NX]],PAR_scrd[#All],53,FALSE)</f>
        <v>1</v>
      </c>
      <c r="F53" s="367">
        <f>HLOOKUP(Comb_scrd[[#Headers],[IBM Security Network Protection XGS 5100]],PAR_scrd[#All],53,FALSE)</f>
        <v>1</v>
      </c>
      <c r="G53" s="367">
        <f>HLOOKUP(Comb_scrd[[#Headers],[IBM Security Network Protection XGS 7100]],PAR_scrd[#All],53,FALSE)</f>
        <v>1</v>
      </c>
      <c r="H53" s="367">
        <f>HLOOKUP(Comb_scrd[[#Headers],[Palo Alto Networks PA-5020]],PAR_scrd[#All],53,FALSE)</f>
        <v>1</v>
      </c>
    </row>
    <row r="54" spans="1:8" ht="12.75">
      <c r="A54" s="329" t="s">
        <v>541</v>
      </c>
      <c r="B54" s="331" t="s">
        <v>243</v>
      </c>
      <c r="C54" s="367">
        <f>HLOOKUP(Comb_scrd[[#Headers],[Cisco FirePOWER 8350]],PAR_scrd[#All],54,FALSE)</f>
        <v>1</v>
      </c>
      <c r="D54" s="367">
        <f>HLOOKUP(Comb_scrd[[#Headers],[Fortinet FortiGate-1500D]],PAR_scrd[#All],54,FALSE)</f>
        <v>1</v>
      </c>
      <c r="E54" s="367">
        <f>HLOOKUP(Comb_scrd[[#Headers],[HP TippingPoint S7500NX]],PAR_scrd[#All],54,FALSE)</f>
        <v>1</v>
      </c>
      <c r="F54" s="367">
        <f>HLOOKUP(Comb_scrd[[#Headers],[IBM Security Network Protection XGS 5100]],PAR_scrd[#All],54,FALSE)</f>
        <v>1</v>
      </c>
      <c r="G54" s="367">
        <f>HLOOKUP(Comb_scrd[[#Headers],[IBM Security Network Protection XGS 7100]],PAR_scrd[#All],54,FALSE)</f>
        <v>1</v>
      </c>
      <c r="H54" s="367">
        <f>HLOOKUP(Comb_scrd[[#Headers],[Palo Alto Networks PA-5020]],PAR_scrd[#All],54,FALSE)</f>
        <v>1</v>
      </c>
    </row>
    <row r="55" spans="1:8" ht="12.75">
      <c r="A55" s="329" t="s">
        <v>542</v>
      </c>
      <c r="B55" s="331" t="s">
        <v>244</v>
      </c>
      <c r="C55" s="367">
        <f>HLOOKUP(Comb_scrd[[#Headers],[Cisco FirePOWER 8350]],PAR_scrd[#All],55,FALSE)</f>
        <v>1</v>
      </c>
      <c r="D55" s="367">
        <f>HLOOKUP(Comb_scrd[[#Headers],[Fortinet FortiGate-1500D]],PAR_scrd[#All],55,FALSE)</f>
        <v>1</v>
      </c>
      <c r="E55" s="367">
        <f>HLOOKUP(Comb_scrd[[#Headers],[HP TippingPoint S7500NX]],PAR_scrd[#All],55,FALSE)</f>
        <v>1</v>
      </c>
      <c r="F55" s="367">
        <f>HLOOKUP(Comb_scrd[[#Headers],[IBM Security Network Protection XGS 5100]],PAR_scrd[#All],55,FALSE)</f>
        <v>1</v>
      </c>
      <c r="G55" s="367">
        <f>HLOOKUP(Comb_scrd[[#Headers],[IBM Security Network Protection XGS 7100]],PAR_scrd[#All],55,FALSE)</f>
        <v>1</v>
      </c>
      <c r="H55" s="367">
        <f>HLOOKUP(Comb_scrd[[#Headers],[Palo Alto Networks PA-5020]],PAR_scrd[#All],55,FALSE)</f>
        <v>1</v>
      </c>
    </row>
    <row r="56" spans="1:8" ht="12.75">
      <c r="A56" s="329" t="s">
        <v>543</v>
      </c>
      <c r="B56" s="331" t="s">
        <v>245</v>
      </c>
      <c r="C56" s="367">
        <f>HLOOKUP(Comb_scrd[[#Headers],[Cisco FirePOWER 8350]],PAR_scrd[#All],56,FALSE)</f>
        <v>1</v>
      </c>
      <c r="D56" s="367">
        <f>HLOOKUP(Comb_scrd[[#Headers],[Fortinet FortiGate-1500D]],PAR_scrd[#All],56,FALSE)</f>
        <v>1</v>
      </c>
      <c r="E56" s="367">
        <f>HLOOKUP(Comb_scrd[[#Headers],[HP TippingPoint S7500NX]],PAR_scrd[#All],56,FALSE)</f>
        <v>1</v>
      </c>
      <c r="F56" s="367">
        <f>HLOOKUP(Comb_scrd[[#Headers],[IBM Security Network Protection XGS 5100]],PAR_scrd[#All],56,FALSE)</f>
        <v>1</v>
      </c>
      <c r="G56" s="367">
        <f>HLOOKUP(Comb_scrd[[#Headers],[IBM Security Network Protection XGS 7100]],PAR_scrd[#All],56,FALSE)</f>
        <v>1</v>
      </c>
      <c r="H56" s="367">
        <f>HLOOKUP(Comb_scrd[[#Headers],[Palo Alto Networks PA-5020]],PAR_scrd[#All],56,FALSE)</f>
        <v>1</v>
      </c>
    </row>
    <row r="57" spans="1:8" ht="12.75">
      <c r="A57" s="329" t="s">
        <v>544</v>
      </c>
      <c r="B57" s="331" t="s">
        <v>246</v>
      </c>
      <c r="C57" s="367">
        <f>HLOOKUP(Comb_scrd[[#Headers],[Cisco FirePOWER 8350]],PAR_scrd[#All],57,FALSE)</f>
        <v>1</v>
      </c>
      <c r="D57" s="367">
        <f>HLOOKUP(Comb_scrd[[#Headers],[Fortinet FortiGate-1500D]],PAR_scrd[#All],57,FALSE)</f>
        <v>1</v>
      </c>
      <c r="E57" s="367">
        <f>HLOOKUP(Comb_scrd[[#Headers],[HP TippingPoint S7500NX]],PAR_scrd[#All],57,FALSE)</f>
        <v>1</v>
      </c>
      <c r="F57" s="367">
        <f>HLOOKUP(Comb_scrd[[#Headers],[IBM Security Network Protection XGS 5100]],PAR_scrd[#All],57,FALSE)</f>
        <v>1</v>
      </c>
      <c r="G57" s="367">
        <f>HLOOKUP(Comb_scrd[[#Headers],[IBM Security Network Protection XGS 7100]],PAR_scrd[#All],57,FALSE)</f>
        <v>1</v>
      </c>
      <c r="H57" s="367">
        <f>HLOOKUP(Comb_scrd[[#Headers],[Palo Alto Networks PA-5020]],PAR_scrd[#All],57,FALSE)</f>
        <v>1</v>
      </c>
    </row>
    <row r="58" spans="1:8" ht="12.75">
      <c r="A58" s="329" t="s">
        <v>545</v>
      </c>
      <c r="B58" s="331" t="s">
        <v>247</v>
      </c>
      <c r="C58" s="367">
        <f>HLOOKUP(Comb_scrd[[#Headers],[Cisco FirePOWER 8350]],PAR_scrd[#All],58,FALSE)</f>
        <v>1</v>
      </c>
      <c r="D58" s="367">
        <f>HLOOKUP(Comb_scrd[[#Headers],[Fortinet FortiGate-1500D]],PAR_scrd[#All],58,FALSE)</f>
        <v>1</v>
      </c>
      <c r="E58" s="367">
        <f>HLOOKUP(Comb_scrd[[#Headers],[HP TippingPoint S7500NX]],PAR_scrd[#All],58,FALSE)</f>
        <v>1</v>
      </c>
      <c r="F58" s="367">
        <f>HLOOKUP(Comb_scrd[[#Headers],[IBM Security Network Protection XGS 5100]],PAR_scrd[#All],58,FALSE)</f>
        <v>1</v>
      </c>
      <c r="G58" s="367">
        <f>HLOOKUP(Comb_scrd[[#Headers],[IBM Security Network Protection XGS 7100]],PAR_scrd[#All],58,FALSE)</f>
        <v>1</v>
      </c>
      <c r="H58" s="367">
        <f>HLOOKUP(Comb_scrd[[#Headers],[Palo Alto Networks PA-5020]],PAR_scrd[#All],58,FALSE)</f>
        <v>1</v>
      </c>
    </row>
    <row r="59" spans="1:8" ht="12.75">
      <c r="A59" s="329" t="s">
        <v>546</v>
      </c>
      <c r="B59" s="331" t="s">
        <v>248</v>
      </c>
      <c r="C59" s="367">
        <f>HLOOKUP(Comb_scrd[[#Headers],[Cisco FirePOWER 8350]],PAR_scrd[#All],59,FALSE)</f>
        <v>1</v>
      </c>
      <c r="D59" s="367">
        <f>HLOOKUP(Comb_scrd[[#Headers],[Fortinet FortiGate-1500D]],PAR_scrd[#All],59,FALSE)</f>
        <v>1</v>
      </c>
      <c r="E59" s="367">
        <f>HLOOKUP(Comb_scrd[[#Headers],[HP TippingPoint S7500NX]],PAR_scrd[#All],59,FALSE)</f>
        <v>1</v>
      </c>
      <c r="F59" s="367">
        <f>HLOOKUP(Comb_scrd[[#Headers],[IBM Security Network Protection XGS 5100]],PAR_scrd[#All],59,FALSE)</f>
        <v>1</v>
      </c>
      <c r="G59" s="367">
        <f>HLOOKUP(Comb_scrd[[#Headers],[IBM Security Network Protection XGS 7100]],PAR_scrd[#All],59,FALSE)</f>
        <v>1</v>
      </c>
      <c r="H59" s="367">
        <f>HLOOKUP(Comb_scrd[[#Headers],[Palo Alto Networks PA-5020]],PAR_scrd[#All],59,FALSE)</f>
        <v>1</v>
      </c>
    </row>
    <row r="60" spans="1:8" ht="12.75">
      <c r="A60" s="329" t="s">
        <v>547</v>
      </c>
      <c r="B60" s="331" t="s">
        <v>249</v>
      </c>
      <c r="C60" s="367">
        <f>HLOOKUP(Comb_scrd[[#Headers],[Cisco FirePOWER 8350]],PAR_scrd[#All],60,FALSE)</f>
        <v>1</v>
      </c>
      <c r="D60" s="367">
        <f>HLOOKUP(Comb_scrd[[#Headers],[Fortinet FortiGate-1500D]],PAR_scrd[#All],60,FALSE)</f>
        <v>1</v>
      </c>
      <c r="E60" s="367">
        <f>HLOOKUP(Comb_scrd[[#Headers],[HP TippingPoint S7500NX]],PAR_scrd[#All],60,FALSE)</f>
        <v>1</v>
      </c>
      <c r="F60" s="367">
        <f>HLOOKUP(Comb_scrd[[#Headers],[IBM Security Network Protection XGS 5100]],PAR_scrd[#All],60,FALSE)</f>
        <v>1</v>
      </c>
      <c r="G60" s="367">
        <f>HLOOKUP(Comb_scrd[[#Headers],[IBM Security Network Protection XGS 7100]],PAR_scrd[#All],60,FALSE)</f>
        <v>1</v>
      </c>
      <c r="H60" s="367">
        <f>HLOOKUP(Comb_scrd[[#Headers],[Palo Alto Networks PA-5020]],PAR_scrd[#All],60,FALSE)</f>
        <v>1</v>
      </c>
    </row>
    <row r="61" spans="1:8" ht="12.75">
      <c r="A61" s="329" t="s">
        <v>548</v>
      </c>
      <c r="B61" s="331" t="s">
        <v>250</v>
      </c>
      <c r="C61" s="367">
        <f>HLOOKUP(Comb_scrd[[#Headers],[Cisco FirePOWER 8350]],PAR_scrd[#All],61,FALSE)</f>
        <v>1</v>
      </c>
      <c r="D61" s="367">
        <f>HLOOKUP(Comb_scrd[[#Headers],[Fortinet FortiGate-1500D]],PAR_scrd[#All],61,FALSE)</f>
        <v>1</v>
      </c>
      <c r="E61" s="367">
        <f>HLOOKUP(Comb_scrd[[#Headers],[HP TippingPoint S7500NX]],PAR_scrd[#All],61,FALSE)</f>
        <v>1</v>
      </c>
      <c r="F61" s="367">
        <f>HLOOKUP(Comb_scrd[[#Headers],[IBM Security Network Protection XGS 5100]],PAR_scrd[#All],61,FALSE)</f>
        <v>1</v>
      </c>
      <c r="G61" s="367">
        <f>HLOOKUP(Comb_scrd[[#Headers],[IBM Security Network Protection XGS 7100]],PAR_scrd[#All],61,FALSE)</f>
        <v>1</v>
      </c>
      <c r="H61" s="367">
        <f>HLOOKUP(Comb_scrd[[#Headers],[Palo Alto Networks PA-5020]],PAR_scrd[#All],61,FALSE)</f>
        <v>1</v>
      </c>
    </row>
    <row r="62" spans="1:8" ht="12.75">
      <c r="A62" s="329" t="s">
        <v>549</v>
      </c>
      <c r="B62" s="331" t="s">
        <v>251</v>
      </c>
      <c r="C62" s="367">
        <f>HLOOKUP(Comb_scrd[[#Headers],[Cisco FirePOWER 8350]],PAR_scrd[#All],62,FALSE)</f>
        <v>1</v>
      </c>
      <c r="D62" s="367">
        <f>HLOOKUP(Comb_scrd[[#Headers],[Fortinet FortiGate-1500D]],PAR_scrd[#All],62,FALSE)</f>
        <v>1</v>
      </c>
      <c r="E62" s="367">
        <f>HLOOKUP(Comb_scrd[[#Headers],[HP TippingPoint S7500NX]],PAR_scrd[#All],62,FALSE)</f>
        <v>1</v>
      </c>
      <c r="F62" s="367">
        <f>HLOOKUP(Comb_scrd[[#Headers],[IBM Security Network Protection XGS 5100]],PAR_scrd[#All],62,FALSE)</f>
        <v>1</v>
      </c>
      <c r="G62" s="367">
        <f>HLOOKUP(Comb_scrd[[#Headers],[IBM Security Network Protection XGS 7100]],PAR_scrd[#All],62,FALSE)</f>
        <v>1</v>
      </c>
      <c r="H62" s="367">
        <f>HLOOKUP(Comb_scrd[[#Headers],[Palo Alto Networks PA-5020]],PAR_scrd[#All],62,FALSE)</f>
        <v>1</v>
      </c>
    </row>
    <row r="63" spans="1:8" ht="12.75">
      <c r="A63" s="329" t="s">
        <v>550</v>
      </c>
      <c r="B63" s="331" t="s">
        <v>252</v>
      </c>
      <c r="C63" s="367">
        <f>HLOOKUP(Comb_scrd[[#Headers],[Cisco FirePOWER 8350]],PAR_scrd[#All],63,FALSE)</f>
        <v>1</v>
      </c>
      <c r="D63" s="367">
        <f>HLOOKUP(Comb_scrd[[#Headers],[Fortinet FortiGate-1500D]],PAR_scrd[#All],63,FALSE)</f>
        <v>1</v>
      </c>
      <c r="E63" s="367">
        <f>HLOOKUP(Comb_scrd[[#Headers],[HP TippingPoint S7500NX]],PAR_scrd[#All],63,FALSE)</f>
        <v>1</v>
      </c>
      <c r="F63" s="367">
        <f>HLOOKUP(Comb_scrd[[#Headers],[IBM Security Network Protection XGS 5100]],PAR_scrd[#All],63,FALSE)</f>
        <v>1</v>
      </c>
      <c r="G63" s="367">
        <f>HLOOKUP(Comb_scrd[[#Headers],[IBM Security Network Protection XGS 7100]],PAR_scrd[#All],63,FALSE)</f>
        <v>1</v>
      </c>
      <c r="H63" s="367">
        <f>HLOOKUP(Comb_scrd[[#Headers],[Palo Alto Networks PA-5020]],PAR_scrd[#All],63,FALSE)</f>
        <v>1</v>
      </c>
    </row>
    <row r="64" spans="1:8" ht="12.75">
      <c r="A64" s="329" t="s">
        <v>551</v>
      </c>
      <c r="B64" s="331" t="s">
        <v>253</v>
      </c>
      <c r="C64" s="367">
        <f>HLOOKUP(Comb_scrd[[#Headers],[Cisco FirePOWER 8350]],PAR_scrd[#All],64,FALSE)</f>
        <v>1</v>
      </c>
      <c r="D64" s="367">
        <f>HLOOKUP(Comb_scrd[[#Headers],[Fortinet FortiGate-1500D]],PAR_scrd[#All],64,FALSE)</f>
        <v>1</v>
      </c>
      <c r="E64" s="367">
        <f>HLOOKUP(Comb_scrd[[#Headers],[HP TippingPoint S7500NX]],PAR_scrd[#All],64,FALSE)</f>
        <v>1</v>
      </c>
      <c r="F64" s="367">
        <f>HLOOKUP(Comb_scrd[[#Headers],[IBM Security Network Protection XGS 5100]],PAR_scrd[#All],64,FALSE)</f>
        <v>1</v>
      </c>
      <c r="G64" s="367">
        <f>HLOOKUP(Comb_scrd[[#Headers],[IBM Security Network Protection XGS 7100]],PAR_scrd[#All],64,FALSE)</f>
        <v>1</v>
      </c>
      <c r="H64" s="367">
        <f>HLOOKUP(Comb_scrd[[#Headers],[Palo Alto Networks PA-5020]],PAR_scrd[#All],64,FALSE)</f>
        <v>1</v>
      </c>
    </row>
    <row r="65" spans="1:8" ht="12.75">
      <c r="A65" s="329" t="s">
        <v>552</v>
      </c>
      <c r="B65" s="329" t="s">
        <v>254</v>
      </c>
      <c r="C65" s="367">
        <f>HLOOKUP(Comb_scrd[[#Headers],[Cisco FirePOWER 8350]],PAR_scrd[#All],65,FALSE)</f>
        <v>1</v>
      </c>
      <c r="D65" s="367">
        <f>HLOOKUP(Comb_scrd[[#Headers],[Fortinet FortiGate-1500D]],PAR_scrd[#All],65,FALSE)</f>
        <v>1</v>
      </c>
      <c r="E65" s="367">
        <f>HLOOKUP(Comb_scrd[[#Headers],[HP TippingPoint S7500NX]],PAR_scrd[#All],65,FALSE)</f>
        <v>1</v>
      </c>
      <c r="F65" s="367">
        <f>HLOOKUP(Comb_scrd[[#Headers],[IBM Security Network Protection XGS 5100]],PAR_scrd[#All],65,FALSE)</f>
        <v>1</v>
      </c>
      <c r="G65" s="367">
        <f>HLOOKUP(Comb_scrd[[#Headers],[IBM Security Network Protection XGS 7100]],PAR_scrd[#All],65,FALSE)</f>
        <v>1</v>
      </c>
      <c r="H65" s="367">
        <f>HLOOKUP(Comb_scrd[[#Headers],[Palo Alto Networks PA-5020]],PAR_scrd[#All],65,FALSE)</f>
        <v>1</v>
      </c>
    </row>
    <row r="66" spans="1:8" ht="12.75">
      <c r="A66" s="329" t="s">
        <v>553</v>
      </c>
      <c r="B66" s="329" t="s">
        <v>255</v>
      </c>
      <c r="C66" s="367">
        <f>HLOOKUP(Comb_scrd[[#Headers],[Cisco FirePOWER 8350]],PAR_scrd[#All],66,FALSE)</f>
        <v>1</v>
      </c>
      <c r="D66" s="367">
        <f>HLOOKUP(Comb_scrd[[#Headers],[Fortinet FortiGate-1500D]],PAR_scrd[#All],66,FALSE)</f>
        <v>1</v>
      </c>
      <c r="E66" s="367">
        <f>HLOOKUP(Comb_scrd[[#Headers],[HP TippingPoint S7500NX]],PAR_scrd[#All],66,FALSE)</f>
        <v>1</v>
      </c>
      <c r="F66" s="367">
        <f>HLOOKUP(Comb_scrd[[#Headers],[IBM Security Network Protection XGS 5100]],PAR_scrd[#All],66,FALSE)</f>
        <v>1</v>
      </c>
      <c r="G66" s="367">
        <f>HLOOKUP(Comb_scrd[[#Headers],[IBM Security Network Protection XGS 7100]],PAR_scrd[#All],66,FALSE)</f>
        <v>1</v>
      </c>
      <c r="H66" s="367">
        <f>HLOOKUP(Comb_scrd[[#Headers],[Palo Alto Networks PA-5020]],PAR_scrd[#All],66,FALSE)</f>
        <v>1</v>
      </c>
    </row>
    <row r="67" spans="1:8" ht="12.75">
      <c r="A67" s="329" t="s">
        <v>554</v>
      </c>
      <c r="B67" s="329" t="s">
        <v>256</v>
      </c>
      <c r="C67" s="367">
        <f>HLOOKUP(Comb_scrd[[#Headers],[Cisco FirePOWER 8350]],PAR_scrd[#All],67,FALSE)</f>
        <v>1</v>
      </c>
      <c r="D67" s="367">
        <f>HLOOKUP(Comb_scrd[[#Headers],[Fortinet FortiGate-1500D]],PAR_scrd[#All],67,FALSE)</f>
        <v>1</v>
      </c>
      <c r="E67" s="367">
        <f>HLOOKUP(Comb_scrd[[#Headers],[HP TippingPoint S7500NX]],PAR_scrd[#All],67,FALSE)</f>
        <v>1</v>
      </c>
      <c r="F67" s="367">
        <f>HLOOKUP(Comb_scrd[[#Headers],[IBM Security Network Protection XGS 5100]],PAR_scrd[#All],67,FALSE)</f>
        <v>1</v>
      </c>
      <c r="G67" s="367">
        <f>HLOOKUP(Comb_scrd[[#Headers],[IBM Security Network Protection XGS 7100]],PAR_scrd[#All],67,FALSE)</f>
        <v>1</v>
      </c>
      <c r="H67" s="367">
        <f>HLOOKUP(Comb_scrd[[#Headers],[Palo Alto Networks PA-5020]],PAR_scrd[#All],67,FALSE)</f>
        <v>1</v>
      </c>
    </row>
    <row r="68" spans="1:8" ht="12.75">
      <c r="A68" s="329" t="s">
        <v>555</v>
      </c>
      <c r="B68" s="329" t="s">
        <v>257</v>
      </c>
      <c r="C68" s="367">
        <f>HLOOKUP(Comb_scrd[[#Headers],[Cisco FirePOWER 8350]],PAR_scrd[#All],68,FALSE)</f>
        <v>1</v>
      </c>
      <c r="D68" s="367">
        <f>HLOOKUP(Comb_scrd[[#Headers],[Fortinet FortiGate-1500D]],PAR_scrd[#All],68,FALSE)</f>
        <v>1</v>
      </c>
      <c r="E68" s="367">
        <f>HLOOKUP(Comb_scrd[[#Headers],[HP TippingPoint S7500NX]],PAR_scrd[#All],68,FALSE)</f>
        <v>1</v>
      </c>
      <c r="F68" s="367">
        <f>HLOOKUP(Comb_scrd[[#Headers],[IBM Security Network Protection XGS 5100]],PAR_scrd[#All],68,FALSE)</f>
        <v>1</v>
      </c>
      <c r="G68" s="367">
        <f>HLOOKUP(Comb_scrd[[#Headers],[IBM Security Network Protection XGS 7100]],PAR_scrd[#All],68,FALSE)</f>
        <v>1</v>
      </c>
      <c r="H68" s="367">
        <f>HLOOKUP(Comb_scrd[[#Headers],[Palo Alto Networks PA-5020]],PAR_scrd[#All],68,FALSE)</f>
        <v>1</v>
      </c>
    </row>
    <row r="69" spans="1:8" ht="12.75">
      <c r="A69" s="327" t="s">
        <v>556</v>
      </c>
      <c r="B69" s="327" t="s">
        <v>187</v>
      </c>
      <c r="C69" s="371">
        <f>HLOOKUP(Comb_scrd[[#Headers],[Cisco FirePOWER 8350]],PAR_scrd[#All],69,FALSE)</f>
        <v>1</v>
      </c>
      <c r="D69" s="371">
        <f>HLOOKUP(Comb_scrd[[#Headers],[Fortinet FortiGate-1500D]],PAR_scrd[#All],69,FALSE)</f>
        <v>1</v>
      </c>
      <c r="E69" s="371">
        <f>HLOOKUP(Comb_scrd[[#Headers],[HP TippingPoint S7500NX]],PAR_scrd[#All],69,FALSE)</f>
        <v>1</v>
      </c>
      <c r="F69" s="371">
        <f>HLOOKUP(Comb_scrd[[#Headers],[IBM Security Network Protection XGS 5100]],PAR_scrd[#All],69,FALSE)</f>
        <v>1</v>
      </c>
      <c r="G69" s="371">
        <f>HLOOKUP(Comb_scrd[[#Headers],[IBM Security Network Protection XGS 7100]],PAR_scrd[#All],69,FALSE)</f>
        <v>1</v>
      </c>
      <c r="H69" s="371">
        <f>HLOOKUP(Comb_scrd[[#Headers],[Palo Alto Networks PA-5020]],PAR_scrd[#All],69,FALSE)</f>
        <v>1</v>
      </c>
    </row>
    <row r="70" spans="1:8" ht="12.75">
      <c r="A70" s="329" t="s">
        <v>557</v>
      </c>
      <c r="B70" s="329" t="s">
        <v>258</v>
      </c>
      <c r="C70" s="367">
        <f>HLOOKUP(Comb_scrd[[#Headers],[Cisco FirePOWER 8350]],PAR_scrd[#All],70,FALSE)</f>
        <v>1</v>
      </c>
      <c r="D70" s="367">
        <f>HLOOKUP(Comb_scrd[[#Headers],[Fortinet FortiGate-1500D]],PAR_scrd[#All],70,FALSE)</f>
        <v>1</v>
      </c>
      <c r="E70" s="367">
        <f>HLOOKUP(Comb_scrd[[#Headers],[HP TippingPoint S7500NX]],PAR_scrd[#All],70,FALSE)</f>
        <v>1</v>
      </c>
      <c r="F70" s="367">
        <f>HLOOKUP(Comb_scrd[[#Headers],[IBM Security Network Protection XGS 5100]],PAR_scrd[#All],70,FALSE)</f>
        <v>1</v>
      </c>
      <c r="G70" s="367">
        <f>HLOOKUP(Comb_scrd[[#Headers],[IBM Security Network Protection XGS 7100]],PAR_scrd[#All],70,FALSE)</f>
        <v>1</v>
      </c>
      <c r="H70" s="367">
        <f>HLOOKUP(Comb_scrd[[#Headers],[Palo Alto Networks PA-5020]],PAR_scrd[#All],70,FALSE)</f>
        <v>1</v>
      </c>
    </row>
    <row r="71" spans="1:8" ht="12.75">
      <c r="A71" s="329" t="s">
        <v>558</v>
      </c>
      <c r="B71" s="329" t="s">
        <v>259</v>
      </c>
      <c r="C71" s="367">
        <f>HLOOKUP(Comb_scrd[[#Headers],[Cisco FirePOWER 8350]],PAR_scrd[#All],71,FALSE)</f>
        <v>1</v>
      </c>
      <c r="D71" s="367">
        <f>HLOOKUP(Comb_scrd[[#Headers],[Fortinet FortiGate-1500D]],PAR_scrd[#All],71,FALSE)</f>
        <v>1</v>
      </c>
      <c r="E71" s="367">
        <f>HLOOKUP(Comb_scrd[[#Headers],[HP TippingPoint S7500NX]],PAR_scrd[#All],71,FALSE)</f>
        <v>1</v>
      </c>
      <c r="F71" s="367">
        <f>HLOOKUP(Comb_scrd[[#Headers],[IBM Security Network Protection XGS 5100]],PAR_scrd[#All],71,FALSE)</f>
        <v>1</v>
      </c>
      <c r="G71" s="367">
        <f>HLOOKUP(Comb_scrd[[#Headers],[IBM Security Network Protection XGS 7100]],PAR_scrd[#All],71,FALSE)</f>
        <v>1</v>
      </c>
      <c r="H71" s="367">
        <f>HLOOKUP(Comb_scrd[[#Headers],[Palo Alto Networks PA-5020]],PAR_scrd[#All],71,FALSE)</f>
        <v>1</v>
      </c>
    </row>
    <row r="72" spans="1:8" ht="12.75">
      <c r="A72" s="329" t="s">
        <v>559</v>
      </c>
      <c r="B72" s="329" t="s">
        <v>260</v>
      </c>
      <c r="C72" s="367">
        <f>HLOOKUP(Comb_scrd[[#Headers],[Cisco FirePOWER 8350]],PAR_scrd[#All],72,FALSE)</f>
        <v>1</v>
      </c>
      <c r="D72" s="367">
        <f>HLOOKUP(Comb_scrd[[#Headers],[Fortinet FortiGate-1500D]],PAR_scrd[#All],72,FALSE)</f>
        <v>1</v>
      </c>
      <c r="E72" s="367">
        <f>HLOOKUP(Comb_scrd[[#Headers],[HP TippingPoint S7500NX]],PAR_scrd[#All],72,FALSE)</f>
        <v>1</v>
      </c>
      <c r="F72" s="367">
        <f>HLOOKUP(Comb_scrd[[#Headers],[IBM Security Network Protection XGS 5100]],PAR_scrd[#All],72,FALSE)</f>
        <v>1</v>
      </c>
      <c r="G72" s="367">
        <f>HLOOKUP(Comb_scrd[[#Headers],[IBM Security Network Protection XGS 7100]],PAR_scrd[#All],72,FALSE)</f>
        <v>1</v>
      </c>
      <c r="H72" s="367">
        <f>HLOOKUP(Comb_scrd[[#Headers],[Palo Alto Networks PA-5020]],PAR_scrd[#All],72,FALSE)</f>
        <v>1</v>
      </c>
    </row>
    <row r="73" spans="1:8" ht="12.75">
      <c r="A73" s="329" t="s">
        <v>560</v>
      </c>
      <c r="B73" s="329" t="s">
        <v>261</v>
      </c>
      <c r="C73" s="367">
        <f>HLOOKUP(Comb_scrd[[#Headers],[Cisco FirePOWER 8350]],PAR_scrd[#All],73,FALSE)</f>
        <v>1</v>
      </c>
      <c r="D73" s="367">
        <f>HLOOKUP(Comb_scrd[[#Headers],[Fortinet FortiGate-1500D]],PAR_scrd[#All],73,FALSE)</f>
        <v>1</v>
      </c>
      <c r="E73" s="367">
        <f>HLOOKUP(Comb_scrd[[#Headers],[HP TippingPoint S7500NX]],PAR_scrd[#All],73,FALSE)</f>
        <v>1</v>
      </c>
      <c r="F73" s="367">
        <f>HLOOKUP(Comb_scrd[[#Headers],[IBM Security Network Protection XGS 5100]],PAR_scrd[#All],73,FALSE)</f>
        <v>1</v>
      </c>
      <c r="G73" s="367">
        <f>HLOOKUP(Comb_scrd[[#Headers],[IBM Security Network Protection XGS 7100]],PAR_scrd[#All],73,FALSE)</f>
        <v>1</v>
      </c>
      <c r="H73" s="367">
        <f>HLOOKUP(Comb_scrd[[#Headers],[Palo Alto Networks PA-5020]],PAR_scrd[#All],73,FALSE)</f>
        <v>1</v>
      </c>
    </row>
    <row r="74" spans="1:8" ht="12.75">
      <c r="A74" s="329" t="s">
        <v>561</v>
      </c>
      <c r="B74" s="329" t="s">
        <v>262</v>
      </c>
      <c r="C74" s="367">
        <f>HLOOKUP(Comb_scrd[[#Headers],[Cisco FirePOWER 8350]],PAR_scrd[#All],74,FALSE)</f>
        <v>1</v>
      </c>
      <c r="D74" s="367">
        <f>HLOOKUP(Comb_scrd[[#Headers],[Fortinet FortiGate-1500D]],PAR_scrd[#All],74,FALSE)</f>
        <v>1</v>
      </c>
      <c r="E74" s="367">
        <f>HLOOKUP(Comb_scrd[[#Headers],[HP TippingPoint S7500NX]],PAR_scrd[#All],74,FALSE)</f>
        <v>1</v>
      </c>
      <c r="F74" s="367">
        <f>HLOOKUP(Comb_scrd[[#Headers],[IBM Security Network Protection XGS 5100]],PAR_scrd[#All],74,FALSE)</f>
        <v>1</v>
      </c>
      <c r="G74" s="367">
        <f>HLOOKUP(Comb_scrd[[#Headers],[IBM Security Network Protection XGS 7100]],PAR_scrd[#All],74,FALSE)</f>
        <v>1</v>
      </c>
      <c r="H74" s="367">
        <f>HLOOKUP(Comb_scrd[[#Headers],[Palo Alto Networks PA-5020]],PAR_scrd[#All],74,FALSE)</f>
        <v>1</v>
      </c>
    </row>
    <row r="75" spans="1:8" ht="12.75">
      <c r="A75" s="329" t="s">
        <v>562</v>
      </c>
      <c r="B75" s="329" t="s">
        <v>263</v>
      </c>
      <c r="C75" s="367">
        <f>HLOOKUP(Comb_scrd[[#Headers],[Cisco FirePOWER 8350]],PAR_scrd[#All],75,FALSE)</f>
        <v>1</v>
      </c>
      <c r="D75" s="367">
        <f>HLOOKUP(Comb_scrd[[#Headers],[Fortinet FortiGate-1500D]],PAR_scrd[#All],75,FALSE)</f>
        <v>1</v>
      </c>
      <c r="E75" s="367">
        <f>HLOOKUP(Comb_scrd[[#Headers],[HP TippingPoint S7500NX]],PAR_scrd[#All],75,FALSE)</f>
        <v>1</v>
      </c>
      <c r="F75" s="367">
        <f>HLOOKUP(Comb_scrd[[#Headers],[IBM Security Network Protection XGS 5100]],PAR_scrd[#All],75,FALSE)</f>
        <v>1</v>
      </c>
      <c r="G75" s="367">
        <f>HLOOKUP(Comb_scrd[[#Headers],[IBM Security Network Protection XGS 7100]],PAR_scrd[#All],75,FALSE)</f>
        <v>1</v>
      </c>
      <c r="H75" s="367">
        <f>HLOOKUP(Comb_scrd[[#Headers],[Palo Alto Networks PA-5020]],PAR_scrd[#All],75,FALSE)</f>
        <v>1</v>
      </c>
    </row>
    <row r="76" spans="1:8" ht="12.75">
      <c r="A76" s="329" t="s">
        <v>563</v>
      </c>
      <c r="B76" s="329" t="s">
        <v>264</v>
      </c>
      <c r="C76" s="367">
        <f>HLOOKUP(Comb_scrd[[#Headers],[Cisco FirePOWER 8350]],PAR_scrd[#All],76,FALSE)</f>
        <v>1</v>
      </c>
      <c r="D76" s="367">
        <f>HLOOKUP(Comb_scrd[[#Headers],[Fortinet FortiGate-1500D]],PAR_scrd[#All],76,FALSE)</f>
        <v>1</v>
      </c>
      <c r="E76" s="367">
        <f>HLOOKUP(Comb_scrd[[#Headers],[HP TippingPoint S7500NX]],PAR_scrd[#All],76,FALSE)</f>
        <v>1</v>
      </c>
      <c r="F76" s="367">
        <f>HLOOKUP(Comb_scrd[[#Headers],[IBM Security Network Protection XGS 5100]],PAR_scrd[#All],76,FALSE)</f>
        <v>1</v>
      </c>
      <c r="G76" s="367">
        <f>HLOOKUP(Comb_scrd[[#Headers],[IBM Security Network Protection XGS 7100]],PAR_scrd[#All],76,FALSE)</f>
        <v>1</v>
      </c>
      <c r="H76" s="367">
        <f>HLOOKUP(Comb_scrd[[#Headers],[Palo Alto Networks PA-5020]],PAR_scrd[#All],76,FALSE)</f>
        <v>1</v>
      </c>
    </row>
    <row r="77" spans="1:8" ht="12.75">
      <c r="A77" s="329" t="s">
        <v>564</v>
      </c>
      <c r="B77" s="329" t="s">
        <v>265</v>
      </c>
      <c r="C77" s="367">
        <f>HLOOKUP(Comb_scrd[[#Headers],[Cisco FirePOWER 8350]],PAR_scrd[#All],77,FALSE)</f>
        <v>1</v>
      </c>
      <c r="D77" s="367">
        <f>HLOOKUP(Comb_scrd[[#Headers],[Fortinet FortiGate-1500D]],PAR_scrd[#All],77,FALSE)</f>
        <v>1</v>
      </c>
      <c r="E77" s="367">
        <f>HLOOKUP(Comb_scrd[[#Headers],[HP TippingPoint S7500NX]],PAR_scrd[#All],77,FALSE)</f>
        <v>1</v>
      </c>
      <c r="F77" s="367">
        <f>HLOOKUP(Comb_scrd[[#Headers],[IBM Security Network Protection XGS 5100]],PAR_scrd[#All],77,FALSE)</f>
        <v>1</v>
      </c>
      <c r="G77" s="367">
        <f>HLOOKUP(Comb_scrd[[#Headers],[IBM Security Network Protection XGS 7100]],PAR_scrd[#All],77,FALSE)</f>
        <v>1</v>
      </c>
      <c r="H77" s="367">
        <f>HLOOKUP(Comb_scrd[[#Headers],[Palo Alto Networks PA-5020]],PAR_scrd[#All],77,FALSE)</f>
        <v>1</v>
      </c>
    </row>
    <row r="78" spans="1:8" ht="12.75">
      <c r="A78" s="329" t="s">
        <v>565</v>
      </c>
      <c r="B78" s="329" t="s">
        <v>266</v>
      </c>
      <c r="C78" s="367">
        <f>HLOOKUP(Comb_scrd[[#Headers],[Cisco FirePOWER 8350]],PAR_scrd[#All],78,FALSE)</f>
        <v>1</v>
      </c>
      <c r="D78" s="367">
        <f>HLOOKUP(Comb_scrd[[#Headers],[Fortinet FortiGate-1500D]],PAR_scrd[#All],78,FALSE)</f>
        <v>1</v>
      </c>
      <c r="E78" s="367">
        <f>HLOOKUP(Comb_scrd[[#Headers],[HP TippingPoint S7500NX]],PAR_scrd[#All],78,FALSE)</f>
        <v>1</v>
      </c>
      <c r="F78" s="367">
        <f>HLOOKUP(Comb_scrd[[#Headers],[IBM Security Network Protection XGS 5100]],PAR_scrd[#All],78,FALSE)</f>
        <v>1</v>
      </c>
      <c r="G78" s="367">
        <f>HLOOKUP(Comb_scrd[[#Headers],[IBM Security Network Protection XGS 7100]],PAR_scrd[#All],78,FALSE)</f>
        <v>1</v>
      </c>
      <c r="H78" s="367">
        <f>HLOOKUP(Comb_scrd[[#Headers],[Palo Alto Networks PA-5020]],PAR_scrd[#All],78,FALSE)</f>
        <v>1</v>
      </c>
    </row>
    <row r="79" spans="1:8" ht="12.75">
      <c r="A79" s="329" t="s">
        <v>566</v>
      </c>
      <c r="B79" s="329" t="s">
        <v>267</v>
      </c>
      <c r="C79" s="367">
        <f>HLOOKUP(Comb_scrd[[#Headers],[Cisco FirePOWER 8350]],PAR_scrd[#All],79,FALSE)</f>
        <v>1</v>
      </c>
      <c r="D79" s="367">
        <f>HLOOKUP(Comb_scrd[[#Headers],[Fortinet FortiGate-1500D]],PAR_scrd[#All],79,FALSE)</f>
        <v>1</v>
      </c>
      <c r="E79" s="367">
        <f>HLOOKUP(Comb_scrd[[#Headers],[HP TippingPoint S7500NX]],PAR_scrd[#All],79,FALSE)</f>
        <v>1</v>
      </c>
      <c r="F79" s="367">
        <f>HLOOKUP(Comb_scrd[[#Headers],[IBM Security Network Protection XGS 5100]],PAR_scrd[#All],79,FALSE)</f>
        <v>1</v>
      </c>
      <c r="G79" s="367">
        <f>HLOOKUP(Comb_scrd[[#Headers],[IBM Security Network Protection XGS 7100]],PAR_scrd[#All],79,FALSE)</f>
        <v>1</v>
      </c>
      <c r="H79" s="367">
        <f>HLOOKUP(Comb_scrd[[#Headers],[Palo Alto Networks PA-5020]],PAR_scrd[#All],79,FALSE)</f>
        <v>1</v>
      </c>
    </row>
    <row r="80" spans="1:8" ht="12.75">
      <c r="A80" s="329" t="s">
        <v>567</v>
      </c>
      <c r="B80" s="329" t="s">
        <v>268</v>
      </c>
      <c r="C80" s="367">
        <f>HLOOKUP(Comb_scrd[[#Headers],[Cisco FirePOWER 8350]],PAR_scrd[#All],80,FALSE)</f>
        <v>1</v>
      </c>
      <c r="D80" s="367">
        <f>HLOOKUP(Comb_scrd[[#Headers],[Fortinet FortiGate-1500D]],PAR_scrd[#All],80,FALSE)</f>
        <v>1</v>
      </c>
      <c r="E80" s="367">
        <f>HLOOKUP(Comb_scrd[[#Headers],[HP TippingPoint S7500NX]],PAR_scrd[#All],80,FALSE)</f>
        <v>1</v>
      </c>
      <c r="F80" s="367">
        <f>HLOOKUP(Comb_scrd[[#Headers],[IBM Security Network Protection XGS 5100]],PAR_scrd[#All],80,FALSE)</f>
        <v>1</v>
      </c>
      <c r="G80" s="367">
        <f>HLOOKUP(Comb_scrd[[#Headers],[IBM Security Network Protection XGS 7100]],PAR_scrd[#All],80,FALSE)</f>
        <v>1</v>
      </c>
      <c r="H80" s="367">
        <f>HLOOKUP(Comb_scrd[[#Headers],[Palo Alto Networks PA-5020]],PAR_scrd[#All],80,FALSE)</f>
        <v>1</v>
      </c>
    </row>
    <row r="81" spans="1:8" ht="12.75">
      <c r="A81" s="329" t="s">
        <v>568</v>
      </c>
      <c r="B81" s="329" t="s">
        <v>269</v>
      </c>
      <c r="C81" s="367">
        <f>HLOOKUP(Comb_scrd[[#Headers],[Cisco FirePOWER 8350]],PAR_scrd[#All],81,FALSE)</f>
        <v>1</v>
      </c>
      <c r="D81" s="367">
        <f>HLOOKUP(Comb_scrd[[#Headers],[Fortinet FortiGate-1500D]],PAR_scrd[#All],81,FALSE)</f>
        <v>1</v>
      </c>
      <c r="E81" s="367">
        <f>HLOOKUP(Comb_scrd[[#Headers],[HP TippingPoint S7500NX]],PAR_scrd[#All],81,FALSE)</f>
        <v>1</v>
      </c>
      <c r="F81" s="367">
        <f>HLOOKUP(Comb_scrd[[#Headers],[IBM Security Network Protection XGS 5100]],PAR_scrd[#All],81,FALSE)</f>
        <v>1</v>
      </c>
      <c r="G81" s="367">
        <f>HLOOKUP(Comb_scrd[[#Headers],[IBM Security Network Protection XGS 7100]],PAR_scrd[#All],81,FALSE)</f>
        <v>1</v>
      </c>
      <c r="H81" s="367">
        <f>HLOOKUP(Comb_scrd[[#Headers],[Palo Alto Networks PA-5020]],PAR_scrd[#All],81,FALSE)</f>
        <v>1</v>
      </c>
    </row>
    <row r="82" spans="1:8" ht="12.75">
      <c r="A82" s="329" t="s">
        <v>569</v>
      </c>
      <c r="B82" s="329" t="s">
        <v>270</v>
      </c>
      <c r="C82" s="367">
        <f>HLOOKUP(Comb_scrd[[#Headers],[Cisco FirePOWER 8350]],PAR_scrd[#All],82,FALSE)</f>
        <v>1</v>
      </c>
      <c r="D82" s="367">
        <f>HLOOKUP(Comb_scrd[[#Headers],[Fortinet FortiGate-1500D]],PAR_scrd[#All],82,FALSE)</f>
        <v>1</v>
      </c>
      <c r="E82" s="367">
        <f>HLOOKUP(Comb_scrd[[#Headers],[HP TippingPoint S7500NX]],PAR_scrd[#All],82,FALSE)</f>
        <v>1</v>
      </c>
      <c r="F82" s="367">
        <f>HLOOKUP(Comb_scrd[[#Headers],[IBM Security Network Protection XGS 5100]],PAR_scrd[#All],82,FALSE)</f>
        <v>1</v>
      </c>
      <c r="G82" s="367">
        <f>HLOOKUP(Comb_scrd[[#Headers],[IBM Security Network Protection XGS 7100]],PAR_scrd[#All],82,FALSE)</f>
        <v>1</v>
      </c>
      <c r="H82" s="367">
        <f>HLOOKUP(Comb_scrd[[#Headers],[Palo Alto Networks PA-5020]],PAR_scrd[#All],82,FALSE)</f>
        <v>1</v>
      </c>
    </row>
    <row r="83" spans="1:8" ht="12.75">
      <c r="A83" s="329" t="s">
        <v>570</v>
      </c>
      <c r="B83" s="329" t="s">
        <v>271</v>
      </c>
      <c r="C83" s="367">
        <f>HLOOKUP(Comb_scrd[[#Headers],[Cisco FirePOWER 8350]],PAR_scrd[#All],83,FALSE)</f>
        <v>1</v>
      </c>
      <c r="D83" s="367">
        <f>HLOOKUP(Comb_scrd[[#Headers],[Fortinet FortiGate-1500D]],PAR_scrd[#All],83,FALSE)</f>
        <v>1</v>
      </c>
      <c r="E83" s="367">
        <f>HLOOKUP(Comb_scrd[[#Headers],[HP TippingPoint S7500NX]],PAR_scrd[#All],83,FALSE)</f>
        <v>1</v>
      </c>
      <c r="F83" s="367">
        <f>HLOOKUP(Comb_scrd[[#Headers],[IBM Security Network Protection XGS 5100]],PAR_scrd[#All],83,FALSE)</f>
        <v>1</v>
      </c>
      <c r="G83" s="367">
        <f>HLOOKUP(Comb_scrd[[#Headers],[IBM Security Network Protection XGS 7100]],PAR_scrd[#All],83,FALSE)</f>
        <v>1</v>
      </c>
      <c r="H83" s="367">
        <f>HLOOKUP(Comb_scrd[[#Headers],[Palo Alto Networks PA-5020]],PAR_scrd[#All],83,FALSE)</f>
        <v>1</v>
      </c>
    </row>
    <row r="84" spans="1:8" ht="12.75">
      <c r="A84" s="329" t="s">
        <v>571</v>
      </c>
      <c r="B84" s="329" t="s">
        <v>272</v>
      </c>
      <c r="C84" s="367">
        <f>HLOOKUP(Comb_scrd[[#Headers],[Cisco FirePOWER 8350]],PAR_scrd[#All],84,FALSE)</f>
        <v>1</v>
      </c>
      <c r="D84" s="367">
        <f>HLOOKUP(Comb_scrd[[#Headers],[Fortinet FortiGate-1500D]],PAR_scrd[#All],84,FALSE)</f>
        <v>1</v>
      </c>
      <c r="E84" s="367">
        <f>HLOOKUP(Comb_scrd[[#Headers],[HP TippingPoint S7500NX]],PAR_scrd[#All],84,FALSE)</f>
        <v>1</v>
      </c>
      <c r="F84" s="367">
        <f>HLOOKUP(Comb_scrd[[#Headers],[IBM Security Network Protection XGS 5100]],PAR_scrd[#All],84,FALSE)</f>
        <v>1</v>
      </c>
      <c r="G84" s="367">
        <f>HLOOKUP(Comb_scrd[[#Headers],[IBM Security Network Protection XGS 7100]],PAR_scrd[#All],84,FALSE)</f>
        <v>1</v>
      </c>
      <c r="H84" s="367">
        <f>HLOOKUP(Comb_scrd[[#Headers],[Palo Alto Networks PA-5020]],PAR_scrd[#All],84,FALSE)</f>
        <v>1</v>
      </c>
    </row>
    <row r="85" spans="1:8" ht="12.75">
      <c r="A85" s="329" t="s">
        <v>572</v>
      </c>
      <c r="B85" s="329" t="s">
        <v>273</v>
      </c>
      <c r="C85" s="367">
        <f>HLOOKUP(Comb_scrd[[#Headers],[Cisco FirePOWER 8350]],PAR_scrd[#All],85,FALSE)</f>
        <v>1</v>
      </c>
      <c r="D85" s="367">
        <f>HLOOKUP(Comb_scrd[[#Headers],[Fortinet FortiGate-1500D]],PAR_scrd[#All],85,FALSE)</f>
        <v>1</v>
      </c>
      <c r="E85" s="367">
        <f>HLOOKUP(Comb_scrd[[#Headers],[HP TippingPoint S7500NX]],PAR_scrd[#All],85,FALSE)</f>
        <v>1</v>
      </c>
      <c r="F85" s="367">
        <f>HLOOKUP(Comb_scrd[[#Headers],[IBM Security Network Protection XGS 5100]],PAR_scrd[#All],85,FALSE)</f>
        <v>1</v>
      </c>
      <c r="G85" s="367">
        <f>HLOOKUP(Comb_scrd[[#Headers],[IBM Security Network Protection XGS 7100]],PAR_scrd[#All],85,FALSE)</f>
        <v>1</v>
      </c>
      <c r="H85" s="367">
        <f>HLOOKUP(Comb_scrd[[#Headers],[Palo Alto Networks PA-5020]],PAR_scrd[#All],85,FALSE)</f>
        <v>1</v>
      </c>
    </row>
    <row r="86" spans="1:8" ht="25.5">
      <c r="A86" s="329" t="s">
        <v>573</v>
      </c>
      <c r="B86" s="331" t="s">
        <v>274</v>
      </c>
      <c r="C86" s="367">
        <f>HLOOKUP(Comb_scrd[[#Headers],[Cisco FirePOWER 8350]],PAR_scrd[#All],86,FALSE)</f>
        <v>1</v>
      </c>
      <c r="D86" s="367">
        <f>HLOOKUP(Comb_scrd[[#Headers],[Fortinet FortiGate-1500D]],PAR_scrd[#All],86,FALSE)</f>
        <v>1</v>
      </c>
      <c r="E86" s="367">
        <f>HLOOKUP(Comb_scrd[[#Headers],[HP TippingPoint S7500NX]],PAR_scrd[#All],86,FALSE)</f>
        <v>1</v>
      </c>
      <c r="F86" s="367">
        <f>HLOOKUP(Comb_scrd[[#Headers],[IBM Security Network Protection XGS 5100]],PAR_scrd[#All],86,FALSE)</f>
        <v>1</v>
      </c>
      <c r="G86" s="367">
        <f>HLOOKUP(Comb_scrd[[#Headers],[IBM Security Network Protection XGS 7100]],PAR_scrd[#All],86,FALSE)</f>
        <v>1</v>
      </c>
      <c r="H86" s="367">
        <f>HLOOKUP(Comb_scrd[[#Headers],[Palo Alto Networks PA-5020]],PAR_scrd[#All],86,FALSE)</f>
        <v>1</v>
      </c>
    </row>
    <row r="87" spans="1:8" ht="25.5">
      <c r="A87" s="329" t="s">
        <v>574</v>
      </c>
      <c r="B87" s="331" t="s">
        <v>275</v>
      </c>
      <c r="C87" s="367">
        <f>HLOOKUP(Comb_scrd[[#Headers],[Cisco FirePOWER 8350]],PAR_scrd[#All],87,FALSE)</f>
        <v>1</v>
      </c>
      <c r="D87" s="367">
        <f>HLOOKUP(Comb_scrd[[#Headers],[Fortinet FortiGate-1500D]],PAR_scrd[#All],87,FALSE)</f>
        <v>1</v>
      </c>
      <c r="E87" s="367">
        <f>HLOOKUP(Comb_scrd[[#Headers],[HP TippingPoint S7500NX]],PAR_scrd[#All],87,FALSE)</f>
        <v>1</v>
      </c>
      <c r="F87" s="367">
        <f>HLOOKUP(Comb_scrd[[#Headers],[IBM Security Network Protection XGS 5100]],PAR_scrd[#All],87,FALSE)</f>
        <v>1</v>
      </c>
      <c r="G87" s="367">
        <f>HLOOKUP(Comb_scrd[[#Headers],[IBM Security Network Protection XGS 7100]],PAR_scrd[#All],87,FALSE)</f>
        <v>1</v>
      </c>
      <c r="H87" s="367">
        <f>HLOOKUP(Comb_scrd[[#Headers],[Palo Alto Networks PA-5020]],PAR_scrd[#All],87,FALSE)</f>
        <v>1</v>
      </c>
    </row>
    <row r="88" spans="1:8" ht="25.5">
      <c r="A88" s="329" t="s">
        <v>575</v>
      </c>
      <c r="B88" s="331" t="s">
        <v>276</v>
      </c>
      <c r="C88" s="367">
        <f>HLOOKUP(Comb_scrd[[#Headers],[Cisco FirePOWER 8350]],PAR_scrd[#All],88,FALSE)</f>
        <v>1</v>
      </c>
      <c r="D88" s="367">
        <f>HLOOKUP(Comb_scrd[[#Headers],[Fortinet FortiGate-1500D]],PAR_scrd[#All],88,FALSE)</f>
        <v>1</v>
      </c>
      <c r="E88" s="367">
        <f>HLOOKUP(Comb_scrd[[#Headers],[HP TippingPoint S7500NX]],PAR_scrd[#All],88,FALSE)</f>
        <v>1</v>
      </c>
      <c r="F88" s="367">
        <f>HLOOKUP(Comb_scrd[[#Headers],[IBM Security Network Protection XGS 5100]],PAR_scrd[#All],88,FALSE)</f>
        <v>1</v>
      </c>
      <c r="G88" s="367">
        <f>HLOOKUP(Comb_scrd[[#Headers],[IBM Security Network Protection XGS 7100]],PAR_scrd[#All],88,FALSE)</f>
        <v>1</v>
      </c>
      <c r="H88" s="367">
        <f>HLOOKUP(Comb_scrd[[#Headers],[Palo Alto Networks PA-5020]],PAR_scrd[#All],88,FALSE)</f>
        <v>1</v>
      </c>
    </row>
    <row r="89" spans="1:8" ht="25.5">
      <c r="A89" s="329" t="s">
        <v>576</v>
      </c>
      <c r="B89" s="331" t="s">
        <v>277</v>
      </c>
      <c r="C89" s="367">
        <f>HLOOKUP(Comb_scrd[[#Headers],[Cisco FirePOWER 8350]],PAR_scrd[#All],89,FALSE)</f>
        <v>1</v>
      </c>
      <c r="D89" s="367">
        <f>HLOOKUP(Comb_scrd[[#Headers],[Fortinet FortiGate-1500D]],PAR_scrd[#All],89,FALSE)</f>
        <v>1</v>
      </c>
      <c r="E89" s="367">
        <f>HLOOKUP(Comb_scrd[[#Headers],[HP TippingPoint S7500NX]],PAR_scrd[#All],89,FALSE)</f>
        <v>1</v>
      </c>
      <c r="F89" s="367">
        <f>HLOOKUP(Comb_scrd[[#Headers],[IBM Security Network Protection XGS 5100]],PAR_scrd[#All],89,FALSE)</f>
        <v>1</v>
      </c>
      <c r="G89" s="367">
        <f>HLOOKUP(Comb_scrd[[#Headers],[IBM Security Network Protection XGS 7100]],PAR_scrd[#All],89,FALSE)</f>
        <v>1</v>
      </c>
      <c r="H89" s="367">
        <f>HLOOKUP(Comb_scrd[[#Headers],[Palo Alto Networks PA-5020]],PAR_scrd[#All],89,FALSE)</f>
        <v>1</v>
      </c>
    </row>
    <row r="90" spans="1:8" ht="25.5">
      <c r="A90" s="329" t="s">
        <v>577</v>
      </c>
      <c r="B90" s="331" t="s">
        <v>278</v>
      </c>
      <c r="C90" s="367">
        <f>HLOOKUP(Comb_scrd[[#Headers],[Cisco FirePOWER 8350]],PAR_scrd[#All],90,FALSE)</f>
        <v>1</v>
      </c>
      <c r="D90" s="367">
        <f>HLOOKUP(Comb_scrd[[#Headers],[Fortinet FortiGate-1500D]],PAR_scrd[#All],90,FALSE)</f>
        <v>1</v>
      </c>
      <c r="E90" s="367">
        <f>HLOOKUP(Comb_scrd[[#Headers],[HP TippingPoint S7500NX]],PAR_scrd[#All],90,FALSE)</f>
        <v>1</v>
      </c>
      <c r="F90" s="367">
        <f>HLOOKUP(Comb_scrd[[#Headers],[IBM Security Network Protection XGS 5100]],PAR_scrd[#All],90,FALSE)</f>
        <v>1</v>
      </c>
      <c r="G90" s="367">
        <f>HLOOKUP(Comb_scrd[[#Headers],[IBM Security Network Protection XGS 7100]],PAR_scrd[#All],90,FALSE)</f>
        <v>1</v>
      </c>
      <c r="H90" s="367">
        <f>HLOOKUP(Comb_scrd[[#Headers],[Palo Alto Networks PA-5020]],PAR_scrd[#All],90,FALSE)</f>
        <v>1</v>
      </c>
    </row>
    <row r="91" spans="1:8" ht="25.5">
      <c r="A91" s="329" t="s">
        <v>578</v>
      </c>
      <c r="B91" s="331" t="s">
        <v>279</v>
      </c>
      <c r="C91" s="367">
        <f>HLOOKUP(Comb_scrd[[#Headers],[Cisco FirePOWER 8350]],PAR_scrd[#All],91,FALSE)</f>
        <v>1</v>
      </c>
      <c r="D91" s="367">
        <f>HLOOKUP(Comb_scrd[[#Headers],[Fortinet FortiGate-1500D]],PAR_scrd[#All],91,FALSE)</f>
        <v>1</v>
      </c>
      <c r="E91" s="367">
        <f>HLOOKUP(Comb_scrd[[#Headers],[HP TippingPoint S7500NX]],PAR_scrd[#All],91,FALSE)</f>
        <v>1</v>
      </c>
      <c r="F91" s="367">
        <f>HLOOKUP(Comb_scrd[[#Headers],[IBM Security Network Protection XGS 5100]],PAR_scrd[#All],91,FALSE)</f>
        <v>1</v>
      </c>
      <c r="G91" s="367">
        <f>HLOOKUP(Comb_scrd[[#Headers],[IBM Security Network Protection XGS 7100]],PAR_scrd[#All],91,FALSE)</f>
        <v>1</v>
      </c>
      <c r="H91" s="367">
        <f>HLOOKUP(Comb_scrd[[#Headers],[Palo Alto Networks PA-5020]],PAR_scrd[#All],91,FALSE)</f>
        <v>1</v>
      </c>
    </row>
    <row r="92" spans="1:8" ht="25.5">
      <c r="A92" s="329" t="s">
        <v>579</v>
      </c>
      <c r="B92" s="331" t="s">
        <v>280</v>
      </c>
      <c r="C92" s="367">
        <f>HLOOKUP(Comb_scrd[[#Headers],[Cisco FirePOWER 8350]],PAR_scrd[#All],92,FALSE)</f>
        <v>1</v>
      </c>
      <c r="D92" s="367">
        <f>HLOOKUP(Comb_scrd[[#Headers],[Fortinet FortiGate-1500D]],PAR_scrd[#All],92,FALSE)</f>
        <v>1</v>
      </c>
      <c r="E92" s="367">
        <f>HLOOKUP(Comb_scrd[[#Headers],[HP TippingPoint S7500NX]],PAR_scrd[#All],92,FALSE)</f>
        <v>1</v>
      </c>
      <c r="F92" s="367">
        <f>HLOOKUP(Comb_scrd[[#Headers],[IBM Security Network Protection XGS 5100]],PAR_scrd[#All],92,FALSE)</f>
        <v>1</v>
      </c>
      <c r="G92" s="367">
        <f>HLOOKUP(Comb_scrd[[#Headers],[IBM Security Network Protection XGS 7100]],PAR_scrd[#All],92,FALSE)</f>
        <v>1</v>
      </c>
      <c r="H92" s="367">
        <f>HLOOKUP(Comb_scrd[[#Headers],[Palo Alto Networks PA-5020]],PAR_scrd[#All],92,FALSE)</f>
        <v>1</v>
      </c>
    </row>
    <row r="93" spans="1:8" ht="12.75">
      <c r="A93" s="336" t="s">
        <v>580</v>
      </c>
      <c r="B93" s="336" t="s">
        <v>188</v>
      </c>
      <c r="C93" s="371">
        <f>HLOOKUP(Comb_scrd[[#Headers],[Cisco FirePOWER 8350]],PAR_scrd[#All],93,FALSE)</f>
        <v>1</v>
      </c>
      <c r="D93" s="371">
        <f>HLOOKUP(Comb_scrd[[#Headers],[Fortinet FortiGate-1500D]],PAR_scrd[#All],93,FALSE)</f>
        <v>1</v>
      </c>
      <c r="E93" s="371">
        <f>HLOOKUP(Comb_scrd[[#Headers],[HP TippingPoint S7500NX]],PAR_scrd[#All],93,FALSE)</f>
        <v>1</v>
      </c>
      <c r="F93" s="371">
        <f>HLOOKUP(Comb_scrd[[#Headers],[IBM Security Network Protection XGS 5100]],PAR_scrd[#All],93,FALSE)</f>
        <v>1</v>
      </c>
      <c r="G93" s="371">
        <f>HLOOKUP(Comb_scrd[[#Headers],[IBM Security Network Protection XGS 7100]],PAR_scrd[#All],93,FALSE)</f>
        <v>1</v>
      </c>
      <c r="H93" s="371">
        <f>HLOOKUP(Comb_scrd[[#Headers],[Palo Alto Networks PA-5020]],PAR_scrd[#All],93,FALSE)</f>
        <v>1</v>
      </c>
    </row>
    <row r="94" spans="1:8" ht="25.5">
      <c r="A94" s="331" t="s">
        <v>581</v>
      </c>
      <c r="B94" s="331" t="s">
        <v>281</v>
      </c>
      <c r="C94" s="367">
        <f>HLOOKUP(Comb_scrd[[#Headers],[Cisco FirePOWER 8350]],PAR_scrd[#All],94,FALSE)</f>
        <v>1</v>
      </c>
      <c r="D94" s="367">
        <f>HLOOKUP(Comb_scrd[[#Headers],[Fortinet FortiGate-1500D]],PAR_scrd[#All],94,FALSE)</f>
        <v>1</v>
      </c>
      <c r="E94" s="367">
        <f>HLOOKUP(Comb_scrd[[#Headers],[HP TippingPoint S7500NX]],PAR_scrd[#All],94,FALSE)</f>
        <v>1</v>
      </c>
      <c r="F94" s="367">
        <f>HLOOKUP(Comb_scrd[[#Headers],[IBM Security Network Protection XGS 5100]],PAR_scrd[#All],94,FALSE)</f>
        <v>1</v>
      </c>
      <c r="G94" s="367">
        <f>HLOOKUP(Comb_scrd[[#Headers],[IBM Security Network Protection XGS 7100]],PAR_scrd[#All],94,FALSE)</f>
        <v>1</v>
      </c>
      <c r="H94" s="367">
        <f>HLOOKUP(Comb_scrd[[#Headers],[Palo Alto Networks PA-5020]],PAR_scrd[#All],94,FALSE)</f>
        <v>1</v>
      </c>
    </row>
    <row r="95" spans="1:8" ht="25.5">
      <c r="A95" s="331" t="s">
        <v>582</v>
      </c>
      <c r="B95" s="331" t="s">
        <v>282</v>
      </c>
      <c r="C95" s="367">
        <f>HLOOKUP(Comb_scrd[[#Headers],[Cisco FirePOWER 8350]],PAR_scrd[#All],95,FALSE)</f>
        <v>1</v>
      </c>
      <c r="D95" s="367">
        <f>HLOOKUP(Comb_scrd[[#Headers],[Fortinet FortiGate-1500D]],PAR_scrd[#All],95,FALSE)</f>
        <v>1</v>
      </c>
      <c r="E95" s="367">
        <f>HLOOKUP(Comb_scrd[[#Headers],[HP TippingPoint S7500NX]],PAR_scrd[#All],95,FALSE)</f>
        <v>1</v>
      </c>
      <c r="F95" s="367">
        <f>HLOOKUP(Comb_scrd[[#Headers],[IBM Security Network Protection XGS 5100]],PAR_scrd[#All],95,FALSE)</f>
        <v>1</v>
      </c>
      <c r="G95" s="367">
        <f>HLOOKUP(Comb_scrd[[#Headers],[IBM Security Network Protection XGS 7100]],PAR_scrd[#All],95,FALSE)</f>
        <v>1</v>
      </c>
      <c r="H95" s="367">
        <f>HLOOKUP(Comb_scrd[[#Headers],[Palo Alto Networks PA-5020]],PAR_scrd[#All],95,FALSE)</f>
        <v>1</v>
      </c>
    </row>
    <row r="96" spans="1:8" ht="25.5">
      <c r="A96" s="331" t="s">
        <v>583</v>
      </c>
      <c r="B96" s="331" t="s">
        <v>283</v>
      </c>
      <c r="C96" s="367">
        <f>HLOOKUP(Comb_scrd[[#Headers],[Cisco FirePOWER 8350]],PAR_scrd[#All],96,FALSE)</f>
        <v>1</v>
      </c>
      <c r="D96" s="367">
        <f>HLOOKUP(Comb_scrd[[#Headers],[Fortinet FortiGate-1500D]],PAR_scrd[#All],96,FALSE)</f>
        <v>1</v>
      </c>
      <c r="E96" s="367">
        <f>HLOOKUP(Comb_scrd[[#Headers],[HP TippingPoint S7500NX]],PAR_scrd[#All],96,FALSE)</f>
        <v>1</v>
      </c>
      <c r="F96" s="367">
        <f>HLOOKUP(Comb_scrd[[#Headers],[IBM Security Network Protection XGS 5100]],PAR_scrd[#All],96,FALSE)</f>
        <v>1</v>
      </c>
      <c r="G96" s="367">
        <f>HLOOKUP(Comb_scrd[[#Headers],[IBM Security Network Protection XGS 7100]],PAR_scrd[#All],96,FALSE)</f>
        <v>1</v>
      </c>
      <c r="H96" s="367">
        <f>HLOOKUP(Comb_scrd[[#Headers],[Palo Alto Networks PA-5020]],PAR_scrd[#All],96,FALSE)</f>
        <v>1</v>
      </c>
    </row>
    <row r="97" spans="1:8" ht="12.75">
      <c r="A97" s="327" t="s">
        <v>584</v>
      </c>
      <c r="B97" s="327" t="s">
        <v>189</v>
      </c>
      <c r="C97" s="371">
        <f>HLOOKUP(Comb_scrd[[#Headers],[Cisco FirePOWER 8350]],PAR_scrd[#All],97,FALSE)</f>
        <v>1</v>
      </c>
      <c r="D97" s="371">
        <f>HLOOKUP(Comb_scrd[[#Headers],[Fortinet FortiGate-1500D]],PAR_scrd[#All],97,FALSE)</f>
        <v>1</v>
      </c>
      <c r="E97" s="371">
        <f>HLOOKUP(Comb_scrd[[#Headers],[HP TippingPoint S7500NX]],PAR_scrd[#All],97,FALSE)</f>
        <v>1</v>
      </c>
      <c r="F97" s="371">
        <f>HLOOKUP(Comb_scrd[[#Headers],[IBM Security Network Protection XGS 5100]],PAR_scrd[#All],97,FALSE)</f>
        <v>1</v>
      </c>
      <c r="G97" s="371">
        <f>HLOOKUP(Comb_scrd[[#Headers],[IBM Security Network Protection XGS 7100]],PAR_scrd[#All],97,FALSE)</f>
        <v>1</v>
      </c>
      <c r="H97" s="371">
        <f>HLOOKUP(Comb_scrd[[#Headers],[Palo Alto Networks PA-5020]],PAR_scrd[#All],97,FALSE)</f>
        <v>1</v>
      </c>
    </row>
    <row r="98" spans="1:8" ht="12.75">
      <c r="A98" s="331" t="s">
        <v>585</v>
      </c>
      <c r="B98" s="331" t="s">
        <v>284</v>
      </c>
      <c r="C98" s="367">
        <f>HLOOKUP(Comb_scrd[[#Headers],[Cisco FirePOWER 8350]],PAR_scrd[#All],98,FALSE)</f>
        <v>1</v>
      </c>
      <c r="D98" s="367">
        <f>HLOOKUP(Comb_scrd[[#Headers],[Fortinet FortiGate-1500D]],PAR_scrd[#All],98,FALSE)</f>
        <v>1</v>
      </c>
      <c r="E98" s="367">
        <f>HLOOKUP(Comb_scrd[[#Headers],[HP TippingPoint S7500NX]],PAR_scrd[#All],98,FALSE)</f>
        <v>1</v>
      </c>
      <c r="F98" s="367">
        <f>HLOOKUP(Comb_scrd[[#Headers],[IBM Security Network Protection XGS 5100]],PAR_scrd[#All],98,FALSE)</f>
        <v>1</v>
      </c>
      <c r="G98" s="367">
        <f>HLOOKUP(Comb_scrd[[#Headers],[IBM Security Network Protection XGS 7100]],PAR_scrd[#All],98,FALSE)</f>
        <v>1</v>
      </c>
      <c r="H98" s="367">
        <f>HLOOKUP(Comb_scrd[[#Headers],[Palo Alto Networks PA-5020]],PAR_scrd[#All],98,FALSE)</f>
        <v>1</v>
      </c>
    </row>
    <row r="99" spans="1:8" ht="12.75">
      <c r="A99" s="331" t="s">
        <v>586</v>
      </c>
      <c r="B99" s="331" t="s">
        <v>285</v>
      </c>
      <c r="C99" s="367">
        <f>HLOOKUP(Comb_scrd[[#Headers],[Cisco FirePOWER 8350]],PAR_scrd[#All],99,FALSE)</f>
        <v>1</v>
      </c>
      <c r="D99" s="367">
        <f>HLOOKUP(Comb_scrd[[#Headers],[Fortinet FortiGate-1500D]],PAR_scrd[#All],99,FALSE)</f>
        <v>1</v>
      </c>
      <c r="E99" s="367">
        <f>HLOOKUP(Comb_scrd[[#Headers],[HP TippingPoint S7500NX]],PAR_scrd[#All],99,FALSE)</f>
        <v>1</v>
      </c>
      <c r="F99" s="367">
        <f>HLOOKUP(Comb_scrd[[#Headers],[IBM Security Network Protection XGS 5100]],PAR_scrd[#All],99,FALSE)</f>
        <v>1</v>
      </c>
      <c r="G99" s="367">
        <f>HLOOKUP(Comb_scrd[[#Headers],[IBM Security Network Protection XGS 7100]],PAR_scrd[#All],99,FALSE)</f>
        <v>1</v>
      </c>
      <c r="H99" s="367">
        <f>HLOOKUP(Comb_scrd[[#Headers],[Palo Alto Networks PA-5020]],PAR_scrd[#All],99,FALSE)</f>
        <v>1</v>
      </c>
    </row>
    <row r="100" spans="1:8" ht="12.75">
      <c r="A100" s="331" t="s">
        <v>587</v>
      </c>
      <c r="B100" s="331" t="s">
        <v>286</v>
      </c>
      <c r="C100" s="367">
        <f>HLOOKUP(Comb_scrd[[#Headers],[Cisco FirePOWER 8350]],PAR_scrd[#All],100,FALSE)</f>
        <v>1</v>
      </c>
      <c r="D100" s="367">
        <f>HLOOKUP(Comb_scrd[[#Headers],[Fortinet FortiGate-1500D]],PAR_scrd[#All],100,FALSE)</f>
        <v>1</v>
      </c>
      <c r="E100" s="367">
        <f>HLOOKUP(Comb_scrd[[#Headers],[HP TippingPoint S7500NX]],PAR_scrd[#All],100,FALSE)</f>
        <v>1</v>
      </c>
      <c r="F100" s="367">
        <f>HLOOKUP(Comb_scrd[[#Headers],[IBM Security Network Protection XGS 5100]],PAR_scrd[#All],100,FALSE)</f>
        <v>1</v>
      </c>
      <c r="G100" s="367">
        <f>HLOOKUP(Comb_scrd[[#Headers],[IBM Security Network Protection XGS 7100]],PAR_scrd[#All],100,FALSE)</f>
        <v>1</v>
      </c>
      <c r="H100" s="367">
        <f>HLOOKUP(Comb_scrd[[#Headers],[Palo Alto Networks PA-5020]],PAR_scrd[#All],100,FALSE)</f>
        <v>1</v>
      </c>
    </row>
    <row r="101" spans="1:8" ht="12.75">
      <c r="A101" s="331" t="s">
        <v>588</v>
      </c>
      <c r="B101" s="331" t="s">
        <v>287</v>
      </c>
      <c r="C101" s="367">
        <f>HLOOKUP(Comb_scrd[[#Headers],[Cisco FirePOWER 8350]],PAR_scrd[#All],101,FALSE)</f>
        <v>1</v>
      </c>
      <c r="D101" s="367">
        <f>HLOOKUP(Comb_scrd[[#Headers],[Fortinet FortiGate-1500D]],PAR_scrd[#All],101,FALSE)</f>
        <v>1</v>
      </c>
      <c r="E101" s="367">
        <f>HLOOKUP(Comb_scrd[[#Headers],[HP TippingPoint S7500NX]],PAR_scrd[#All],101,FALSE)</f>
        <v>1</v>
      </c>
      <c r="F101" s="367">
        <f>HLOOKUP(Comb_scrd[[#Headers],[IBM Security Network Protection XGS 5100]],PAR_scrd[#All],101,FALSE)</f>
        <v>1</v>
      </c>
      <c r="G101" s="367">
        <f>HLOOKUP(Comb_scrd[[#Headers],[IBM Security Network Protection XGS 7100]],PAR_scrd[#All],101,FALSE)</f>
        <v>1</v>
      </c>
      <c r="H101" s="367">
        <f>HLOOKUP(Comb_scrd[[#Headers],[Palo Alto Networks PA-5020]],PAR_scrd[#All],101,FALSE)</f>
        <v>1</v>
      </c>
    </row>
    <row r="102" spans="1:8" ht="12.75">
      <c r="A102" s="331" t="s">
        <v>589</v>
      </c>
      <c r="B102" s="331" t="s">
        <v>288</v>
      </c>
      <c r="C102" s="367">
        <f>HLOOKUP(Comb_scrd[[#Headers],[Cisco FirePOWER 8350]],PAR_scrd[#All],102,FALSE)</f>
        <v>1</v>
      </c>
      <c r="D102" s="367">
        <f>HLOOKUP(Comb_scrd[[#Headers],[Fortinet FortiGate-1500D]],PAR_scrd[#All],102,FALSE)</f>
        <v>1</v>
      </c>
      <c r="E102" s="367">
        <f>HLOOKUP(Comb_scrd[[#Headers],[HP TippingPoint S7500NX]],PAR_scrd[#All],102,FALSE)</f>
        <v>1</v>
      </c>
      <c r="F102" s="367">
        <f>HLOOKUP(Comb_scrd[[#Headers],[IBM Security Network Protection XGS 5100]],PAR_scrd[#All],102,FALSE)</f>
        <v>1</v>
      </c>
      <c r="G102" s="367">
        <f>HLOOKUP(Comb_scrd[[#Headers],[IBM Security Network Protection XGS 7100]],PAR_scrd[#All],102,FALSE)</f>
        <v>1</v>
      </c>
      <c r="H102" s="367">
        <f>HLOOKUP(Comb_scrd[[#Headers],[Palo Alto Networks PA-5020]],PAR_scrd[#All],102,FALSE)</f>
        <v>1</v>
      </c>
    </row>
    <row r="103" spans="1:8" ht="12.75">
      <c r="A103" s="331" t="s">
        <v>590</v>
      </c>
      <c r="B103" s="331" t="s">
        <v>289</v>
      </c>
      <c r="C103" s="367">
        <f>HLOOKUP(Comb_scrd[[#Headers],[Cisco FirePOWER 8350]],PAR_scrd[#All],103,FALSE)</f>
        <v>1</v>
      </c>
      <c r="D103" s="367">
        <f>HLOOKUP(Comb_scrd[[#Headers],[Fortinet FortiGate-1500D]],PAR_scrd[#All],103,FALSE)</f>
        <v>1</v>
      </c>
      <c r="E103" s="367">
        <f>HLOOKUP(Comb_scrd[[#Headers],[HP TippingPoint S7500NX]],PAR_scrd[#All],103,FALSE)</f>
        <v>1</v>
      </c>
      <c r="F103" s="367">
        <f>HLOOKUP(Comb_scrd[[#Headers],[IBM Security Network Protection XGS 5100]],PAR_scrd[#All],103,FALSE)</f>
        <v>1</v>
      </c>
      <c r="G103" s="367">
        <f>HLOOKUP(Comb_scrd[[#Headers],[IBM Security Network Protection XGS 7100]],PAR_scrd[#All],103,FALSE)</f>
        <v>1</v>
      </c>
      <c r="H103" s="367">
        <f>HLOOKUP(Comb_scrd[[#Headers],[Palo Alto Networks PA-5020]],PAR_scrd[#All],103,FALSE)</f>
        <v>1</v>
      </c>
    </row>
    <row r="104" spans="1:8" ht="12.75">
      <c r="A104" s="331" t="s">
        <v>591</v>
      </c>
      <c r="B104" s="331" t="s">
        <v>290</v>
      </c>
      <c r="C104" s="367">
        <f>HLOOKUP(Comb_scrd[[#Headers],[Cisco FirePOWER 8350]],PAR_scrd[#All],104,FALSE)</f>
        <v>1</v>
      </c>
      <c r="D104" s="367">
        <f>HLOOKUP(Comb_scrd[[#Headers],[Fortinet FortiGate-1500D]],PAR_scrd[#All],104,FALSE)</f>
        <v>1</v>
      </c>
      <c r="E104" s="367">
        <f>HLOOKUP(Comb_scrd[[#Headers],[HP TippingPoint S7500NX]],PAR_scrd[#All],104,FALSE)</f>
        <v>1</v>
      </c>
      <c r="F104" s="367">
        <f>HLOOKUP(Comb_scrd[[#Headers],[IBM Security Network Protection XGS 5100]],PAR_scrd[#All],104,FALSE)</f>
        <v>1</v>
      </c>
      <c r="G104" s="367">
        <f>HLOOKUP(Comb_scrd[[#Headers],[IBM Security Network Protection XGS 7100]],PAR_scrd[#All],104,FALSE)</f>
        <v>1</v>
      </c>
      <c r="H104" s="367">
        <f>HLOOKUP(Comb_scrd[[#Headers],[Palo Alto Networks PA-5020]],PAR_scrd[#All],104,FALSE)</f>
        <v>1</v>
      </c>
    </row>
    <row r="105" spans="1:8" ht="12.75">
      <c r="A105" s="331" t="s">
        <v>592</v>
      </c>
      <c r="B105" s="331" t="s">
        <v>291</v>
      </c>
      <c r="C105" s="367">
        <f>HLOOKUP(Comb_scrd[[#Headers],[Cisco FirePOWER 8350]],PAR_scrd[#All],105,FALSE)</f>
        <v>1</v>
      </c>
      <c r="D105" s="367">
        <f>HLOOKUP(Comb_scrd[[#Headers],[Fortinet FortiGate-1500D]],PAR_scrd[#All],105,FALSE)</f>
        <v>1</v>
      </c>
      <c r="E105" s="367">
        <f>HLOOKUP(Comb_scrd[[#Headers],[HP TippingPoint S7500NX]],PAR_scrd[#All],105,FALSE)</f>
        <v>1</v>
      </c>
      <c r="F105" s="367">
        <f>HLOOKUP(Comb_scrd[[#Headers],[IBM Security Network Protection XGS 5100]],PAR_scrd[#All],105,FALSE)</f>
        <v>1</v>
      </c>
      <c r="G105" s="367">
        <f>HLOOKUP(Comb_scrd[[#Headers],[IBM Security Network Protection XGS 7100]],PAR_scrd[#All],105,FALSE)</f>
        <v>1</v>
      </c>
      <c r="H105" s="367">
        <f>HLOOKUP(Comb_scrd[[#Headers],[Palo Alto Networks PA-5020]],PAR_scrd[#All],105,FALSE)</f>
        <v>1</v>
      </c>
    </row>
    <row r="106" spans="1:8" ht="12.75">
      <c r="A106" s="331" t="s">
        <v>593</v>
      </c>
      <c r="B106" s="331" t="s">
        <v>292</v>
      </c>
      <c r="C106" s="367">
        <f>HLOOKUP(Comb_scrd[[#Headers],[Cisco FirePOWER 8350]],PAR_scrd[#All],106,FALSE)</f>
        <v>1</v>
      </c>
      <c r="D106" s="367">
        <f>HLOOKUP(Comb_scrd[[#Headers],[Fortinet FortiGate-1500D]],PAR_scrd[#All],106,FALSE)</f>
        <v>1</v>
      </c>
      <c r="E106" s="367">
        <f>HLOOKUP(Comb_scrd[[#Headers],[HP TippingPoint S7500NX]],PAR_scrd[#All],106,FALSE)</f>
        <v>1</v>
      </c>
      <c r="F106" s="367">
        <f>HLOOKUP(Comb_scrd[[#Headers],[IBM Security Network Protection XGS 5100]],PAR_scrd[#All],106,FALSE)</f>
        <v>1</v>
      </c>
      <c r="G106" s="367">
        <f>HLOOKUP(Comb_scrd[[#Headers],[IBM Security Network Protection XGS 7100]],PAR_scrd[#All],106,FALSE)</f>
        <v>1</v>
      </c>
      <c r="H106" s="367">
        <f>HLOOKUP(Comb_scrd[[#Headers],[Palo Alto Networks PA-5020]],PAR_scrd[#All],106,FALSE)</f>
        <v>1</v>
      </c>
    </row>
    <row r="107" spans="1:8" ht="12.75">
      <c r="A107" s="331" t="s">
        <v>594</v>
      </c>
      <c r="B107" s="331" t="s">
        <v>293</v>
      </c>
      <c r="C107" s="367">
        <f>HLOOKUP(Comb_scrd[[#Headers],[Cisco FirePOWER 8350]],PAR_scrd[#All],107,FALSE)</f>
        <v>1</v>
      </c>
      <c r="D107" s="367">
        <f>HLOOKUP(Comb_scrd[[#Headers],[Fortinet FortiGate-1500D]],PAR_scrd[#All],107,FALSE)</f>
        <v>1</v>
      </c>
      <c r="E107" s="367">
        <f>HLOOKUP(Comb_scrd[[#Headers],[HP TippingPoint S7500NX]],PAR_scrd[#All],107,FALSE)</f>
        <v>1</v>
      </c>
      <c r="F107" s="367">
        <f>HLOOKUP(Comb_scrd[[#Headers],[IBM Security Network Protection XGS 5100]],PAR_scrd[#All],107,FALSE)</f>
        <v>1</v>
      </c>
      <c r="G107" s="367">
        <f>HLOOKUP(Comb_scrd[[#Headers],[IBM Security Network Protection XGS 7100]],PAR_scrd[#All],107,FALSE)</f>
        <v>1</v>
      </c>
      <c r="H107" s="367">
        <f>HLOOKUP(Comb_scrd[[#Headers],[Palo Alto Networks PA-5020]],PAR_scrd[#All],107,FALSE)</f>
        <v>1</v>
      </c>
    </row>
    <row r="108" spans="1:8" ht="12.75">
      <c r="A108" s="331" t="s">
        <v>595</v>
      </c>
      <c r="B108" s="331" t="s">
        <v>294</v>
      </c>
      <c r="C108" s="367">
        <f>HLOOKUP(Comb_scrd[[#Headers],[Cisco FirePOWER 8350]],PAR_scrd[#All],108,FALSE)</f>
        <v>1</v>
      </c>
      <c r="D108" s="367">
        <f>HLOOKUP(Comb_scrd[[#Headers],[Fortinet FortiGate-1500D]],PAR_scrd[#All],108,FALSE)</f>
        <v>1</v>
      </c>
      <c r="E108" s="367">
        <f>HLOOKUP(Comb_scrd[[#Headers],[HP TippingPoint S7500NX]],PAR_scrd[#All],108,FALSE)</f>
        <v>1</v>
      </c>
      <c r="F108" s="367">
        <f>HLOOKUP(Comb_scrd[[#Headers],[IBM Security Network Protection XGS 5100]],PAR_scrd[#All],108,FALSE)</f>
        <v>1</v>
      </c>
      <c r="G108" s="367">
        <f>HLOOKUP(Comb_scrd[[#Headers],[IBM Security Network Protection XGS 7100]],PAR_scrd[#All],108,FALSE)</f>
        <v>1</v>
      </c>
      <c r="H108" s="367">
        <f>HLOOKUP(Comb_scrd[[#Headers],[Palo Alto Networks PA-5020]],PAR_scrd[#All],108,FALSE)</f>
        <v>1</v>
      </c>
    </row>
    <row r="109" spans="1:8" ht="12.75">
      <c r="A109" s="331" t="s">
        <v>596</v>
      </c>
      <c r="B109" s="331" t="s">
        <v>295</v>
      </c>
      <c r="C109" s="367">
        <f>HLOOKUP(Comb_scrd[[#Headers],[Cisco FirePOWER 8350]],PAR_scrd[#All],109,FALSE)</f>
        <v>1</v>
      </c>
      <c r="D109" s="367">
        <f>HLOOKUP(Comb_scrd[[#Headers],[Fortinet FortiGate-1500D]],PAR_scrd[#All],109,FALSE)</f>
        <v>1</v>
      </c>
      <c r="E109" s="367">
        <f>HLOOKUP(Comb_scrd[[#Headers],[HP TippingPoint S7500NX]],PAR_scrd[#All],109,FALSE)</f>
        <v>1</v>
      </c>
      <c r="F109" s="367">
        <f>HLOOKUP(Comb_scrd[[#Headers],[IBM Security Network Protection XGS 5100]],PAR_scrd[#All],109,FALSE)</f>
        <v>1</v>
      </c>
      <c r="G109" s="367">
        <f>HLOOKUP(Comb_scrd[[#Headers],[IBM Security Network Protection XGS 7100]],PAR_scrd[#All],109,FALSE)</f>
        <v>1</v>
      </c>
      <c r="H109" s="367">
        <f>HLOOKUP(Comb_scrd[[#Headers],[Palo Alto Networks PA-5020]],PAR_scrd[#All],109,FALSE)</f>
        <v>1</v>
      </c>
    </row>
    <row r="110" spans="1:8" ht="12.75">
      <c r="A110" s="331" t="s">
        <v>597</v>
      </c>
      <c r="B110" s="331" t="s">
        <v>296</v>
      </c>
      <c r="C110" s="367">
        <f>HLOOKUP(Comb_scrd[[#Headers],[Cisco FirePOWER 8350]],PAR_scrd[#All],110,FALSE)</f>
        <v>1</v>
      </c>
      <c r="D110" s="367">
        <f>HLOOKUP(Comb_scrd[[#Headers],[Fortinet FortiGate-1500D]],PAR_scrd[#All],110,FALSE)</f>
        <v>1</v>
      </c>
      <c r="E110" s="367">
        <f>HLOOKUP(Comb_scrd[[#Headers],[HP TippingPoint S7500NX]],PAR_scrd[#All],110,FALSE)</f>
        <v>1</v>
      </c>
      <c r="F110" s="367">
        <f>HLOOKUP(Comb_scrd[[#Headers],[IBM Security Network Protection XGS 5100]],PAR_scrd[#All],110,FALSE)</f>
        <v>1</v>
      </c>
      <c r="G110" s="367">
        <f>HLOOKUP(Comb_scrd[[#Headers],[IBM Security Network Protection XGS 7100]],PAR_scrd[#All],110,FALSE)</f>
        <v>1</v>
      </c>
      <c r="H110" s="367">
        <f>HLOOKUP(Comb_scrd[[#Headers],[Palo Alto Networks PA-5020]],PAR_scrd[#All],110,FALSE)</f>
        <v>1</v>
      </c>
    </row>
    <row r="111" spans="1:8" ht="12.75">
      <c r="A111" s="331" t="s">
        <v>598</v>
      </c>
      <c r="B111" s="331" t="s">
        <v>297</v>
      </c>
      <c r="C111" s="367">
        <f>HLOOKUP(Comb_scrd[[#Headers],[Cisco FirePOWER 8350]],PAR_scrd[#All],111,FALSE)</f>
        <v>1</v>
      </c>
      <c r="D111" s="367">
        <f>HLOOKUP(Comb_scrd[[#Headers],[Fortinet FortiGate-1500D]],PAR_scrd[#All],111,FALSE)</f>
        <v>1</v>
      </c>
      <c r="E111" s="367">
        <f>HLOOKUP(Comb_scrd[[#Headers],[HP TippingPoint S7500NX]],PAR_scrd[#All],111,FALSE)</f>
        <v>1</v>
      </c>
      <c r="F111" s="367">
        <f>HLOOKUP(Comb_scrd[[#Headers],[IBM Security Network Protection XGS 5100]],PAR_scrd[#All],111,FALSE)</f>
        <v>1</v>
      </c>
      <c r="G111" s="367">
        <f>HLOOKUP(Comb_scrd[[#Headers],[IBM Security Network Protection XGS 7100]],PAR_scrd[#All],111,FALSE)</f>
        <v>1</v>
      </c>
      <c r="H111" s="367">
        <f>HLOOKUP(Comb_scrd[[#Headers],[Palo Alto Networks PA-5020]],PAR_scrd[#All],111,FALSE)</f>
        <v>1</v>
      </c>
    </row>
    <row r="112" spans="1:8" ht="12.75">
      <c r="A112" s="331" t="s">
        <v>599</v>
      </c>
      <c r="B112" s="331" t="s">
        <v>298</v>
      </c>
      <c r="C112" s="367">
        <f>HLOOKUP(Comb_scrd[[#Headers],[Cisco FirePOWER 8350]],PAR_scrd[#All],112,FALSE)</f>
        <v>1</v>
      </c>
      <c r="D112" s="367">
        <f>HLOOKUP(Comb_scrd[[#Headers],[Fortinet FortiGate-1500D]],PAR_scrd[#All],112,FALSE)</f>
        <v>1</v>
      </c>
      <c r="E112" s="367">
        <f>HLOOKUP(Comb_scrd[[#Headers],[HP TippingPoint S7500NX]],PAR_scrd[#All],112,FALSE)</f>
        <v>1</v>
      </c>
      <c r="F112" s="367">
        <f>HLOOKUP(Comb_scrd[[#Headers],[IBM Security Network Protection XGS 5100]],PAR_scrd[#All],112,FALSE)</f>
        <v>1</v>
      </c>
      <c r="G112" s="367">
        <f>HLOOKUP(Comb_scrd[[#Headers],[IBM Security Network Protection XGS 7100]],PAR_scrd[#All],112,FALSE)</f>
        <v>1</v>
      </c>
      <c r="H112" s="367">
        <f>HLOOKUP(Comb_scrd[[#Headers],[Palo Alto Networks PA-5020]],PAR_scrd[#All],112,FALSE)</f>
        <v>1</v>
      </c>
    </row>
    <row r="113" spans="1:8" ht="12.75">
      <c r="A113" s="331" t="s">
        <v>600</v>
      </c>
      <c r="B113" s="331" t="s">
        <v>299</v>
      </c>
      <c r="C113" s="367">
        <f>HLOOKUP(Comb_scrd[[#Headers],[Cisco FirePOWER 8350]],PAR_scrd[#All],113,FALSE)</f>
        <v>1</v>
      </c>
      <c r="D113" s="367">
        <f>HLOOKUP(Comb_scrd[[#Headers],[Fortinet FortiGate-1500D]],PAR_scrd[#All],113,FALSE)</f>
        <v>1</v>
      </c>
      <c r="E113" s="367">
        <f>HLOOKUP(Comb_scrd[[#Headers],[HP TippingPoint S7500NX]],PAR_scrd[#All],113,FALSE)</f>
        <v>1</v>
      </c>
      <c r="F113" s="367">
        <f>HLOOKUP(Comb_scrd[[#Headers],[IBM Security Network Protection XGS 5100]],PAR_scrd[#All],113,FALSE)</f>
        <v>1</v>
      </c>
      <c r="G113" s="367">
        <f>HLOOKUP(Comb_scrd[[#Headers],[IBM Security Network Protection XGS 7100]],PAR_scrd[#All],113,FALSE)</f>
        <v>1</v>
      </c>
      <c r="H113" s="367">
        <f>HLOOKUP(Comb_scrd[[#Headers],[Palo Alto Networks PA-5020]],PAR_scrd[#All],113,FALSE)</f>
        <v>1</v>
      </c>
    </row>
    <row r="114" spans="1:8" ht="12.75">
      <c r="A114" s="336" t="s">
        <v>601</v>
      </c>
      <c r="B114" s="336" t="s">
        <v>190</v>
      </c>
      <c r="C114" s="371">
        <f>HLOOKUP(Comb_scrd[[#Headers],[Cisco FirePOWER 8350]],PAR_scrd[#All],114,FALSE)</f>
        <v>1</v>
      </c>
      <c r="D114" s="371">
        <f>HLOOKUP(Comb_scrd[[#Headers],[Fortinet FortiGate-1500D]],PAR_scrd[#All],114,FALSE)</f>
        <v>1</v>
      </c>
      <c r="E114" s="371">
        <f>HLOOKUP(Comb_scrd[[#Headers],[HP TippingPoint S7500NX]],PAR_scrd[#All],114,FALSE)</f>
        <v>1</v>
      </c>
      <c r="F114" s="371">
        <f>HLOOKUP(Comb_scrd[[#Headers],[IBM Security Network Protection XGS 5100]],PAR_scrd[#All],114,FALSE)</f>
        <v>1</v>
      </c>
      <c r="G114" s="371">
        <f>HLOOKUP(Comb_scrd[[#Headers],[IBM Security Network Protection XGS 7100]],PAR_scrd[#All],114,FALSE)</f>
        <v>1</v>
      </c>
      <c r="H114" s="371">
        <f>HLOOKUP(Comb_scrd[[#Headers],[Palo Alto Networks PA-5020]],PAR_scrd[#All],114,FALSE)</f>
        <v>1</v>
      </c>
    </row>
    <row r="115" spans="1:8" ht="12.75">
      <c r="A115" s="331" t="s">
        <v>602</v>
      </c>
      <c r="B115" s="338" t="s">
        <v>300</v>
      </c>
      <c r="C115" s="372">
        <f>HLOOKUP(Comb_scrd[[#Headers],[Cisco FirePOWER 8350]],PAR_scrd[#All],115,FALSE)</f>
        <v>1</v>
      </c>
      <c r="D115" s="372">
        <f>HLOOKUP(Comb_scrd[[#Headers],[Fortinet FortiGate-1500D]],PAR_scrd[#All],115,FALSE)</f>
        <v>1</v>
      </c>
      <c r="E115" s="372">
        <f>HLOOKUP(Comb_scrd[[#Headers],[HP TippingPoint S7500NX]],PAR_scrd[#All],115,FALSE)</f>
        <v>1</v>
      </c>
      <c r="F115" s="372">
        <f>HLOOKUP(Comb_scrd[[#Headers],[IBM Security Network Protection XGS 5100]],PAR_scrd[#All],115,FALSE)</f>
        <v>1</v>
      </c>
      <c r="G115" s="372">
        <f>HLOOKUP(Comb_scrd[[#Headers],[IBM Security Network Protection XGS 7100]],PAR_scrd[#All],115,FALSE)</f>
        <v>1</v>
      </c>
      <c r="H115" s="372">
        <f>HLOOKUP(Comb_scrd[[#Headers],[Palo Alto Networks PA-5020]],PAR_scrd[#All],115,FALSE)</f>
        <v>1</v>
      </c>
    </row>
    <row r="116" spans="1:8" ht="12.75">
      <c r="A116" s="331" t="s">
        <v>603</v>
      </c>
      <c r="B116" s="338" t="s">
        <v>301</v>
      </c>
      <c r="C116" s="372">
        <f>HLOOKUP(Comb_scrd[[#Headers],[Cisco FirePOWER 8350]],PAR_scrd[#All],116,FALSE)</f>
        <v>1</v>
      </c>
      <c r="D116" s="372">
        <f>HLOOKUP(Comb_scrd[[#Headers],[Fortinet FortiGate-1500D]],PAR_scrd[#All],116,FALSE)</f>
        <v>1</v>
      </c>
      <c r="E116" s="372">
        <f>HLOOKUP(Comb_scrd[[#Headers],[HP TippingPoint S7500NX]],PAR_scrd[#All],116,FALSE)</f>
        <v>1</v>
      </c>
      <c r="F116" s="372">
        <f>HLOOKUP(Comb_scrd[[#Headers],[IBM Security Network Protection XGS 5100]],PAR_scrd[#All],116,FALSE)</f>
        <v>1</v>
      </c>
      <c r="G116" s="372">
        <f>HLOOKUP(Comb_scrd[[#Headers],[IBM Security Network Protection XGS 7100]],PAR_scrd[#All],116,FALSE)</f>
        <v>1</v>
      </c>
      <c r="H116" s="372">
        <f>HLOOKUP(Comb_scrd[[#Headers],[Palo Alto Networks PA-5020]],PAR_scrd[#All],116,FALSE)</f>
        <v>1</v>
      </c>
    </row>
    <row r="117" spans="1:8" ht="12.75">
      <c r="A117" s="331" t="s">
        <v>604</v>
      </c>
      <c r="B117" s="338" t="s">
        <v>302</v>
      </c>
      <c r="C117" s="372">
        <f>HLOOKUP(Comb_scrd[[#Headers],[Cisco FirePOWER 8350]],PAR_scrd[#All],117,FALSE)</f>
        <v>1</v>
      </c>
      <c r="D117" s="372">
        <f>HLOOKUP(Comb_scrd[[#Headers],[Fortinet FortiGate-1500D]],PAR_scrd[#All],117,FALSE)</f>
        <v>1</v>
      </c>
      <c r="E117" s="372">
        <f>HLOOKUP(Comb_scrd[[#Headers],[HP TippingPoint S7500NX]],PAR_scrd[#All],117,FALSE)</f>
        <v>1</v>
      </c>
      <c r="F117" s="372">
        <f>HLOOKUP(Comb_scrd[[#Headers],[IBM Security Network Protection XGS 5100]],PAR_scrd[#All],117,FALSE)</f>
        <v>1</v>
      </c>
      <c r="G117" s="372">
        <f>HLOOKUP(Comb_scrd[[#Headers],[IBM Security Network Protection XGS 7100]],PAR_scrd[#All],117,FALSE)</f>
        <v>1</v>
      </c>
      <c r="H117" s="372">
        <f>HLOOKUP(Comb_scrd[[#Headers],[Palo Alto Networks PA-5020]],PAR_scrd[#All],117,FALSE)</f>
        <v>1</v>
      </c>
    </row>
    <row r="118" spans="1:8" ht="12.75">
      <c r="A118" s="331" t="s">
        <v>605</v>
      </c>
      <c r="B118" s="338" t="s">
        <v>303</v>
      </c>
      <c r="C118" s="372">
        <f>HLOOKUP(Comb_scrd[[#Headers],[Cisco FirePOWER 8350]],PAR_scrd[#All],118,FALSE)</f>
        <v>1</v>
      </c>
      <c r="D118" s="372">
        <f>HLOOKUP(Comb_scrd[[#Headers],[Fortinet FortiGate-1500D]],PAR_scrd[#All],118,FALSE)</f>
        <v>1</v>
      </c>
      <c r="E118" s="372">
        <f>HLOOKUP(Comb_scrd[[#Headers],[HP TippingPoint S7500NX]],PAR_scrd[#All],118,FALSE)</f>
        <v>1</v>
      </c>
      <c r="F118" s="372">
        <f>HLOOKUP(Comb_scrd[[#Headers],[IBM Security Network Protection XGS 5100]],PAR_scrd[#All],118,FALSE)</f>
        <v>1</v>
      </c>
      <c r="G118" s="372">
        <f>HLOOKUP(Comb_scrd[[#Headers],[IBM Security Network Protection XGS 7100]],PAR_scrd[#All],118,FALSE)</f>
        <v>1</v>
      </c>
      <c r="H118" s="372">
        <f>HLOOKUP(Comb_scrd[[#Headers],[Palo Alto Networks PA-5020]],PAR_scrd[#All],118,FALSE)</f>
        <v>1</v>
      </c>
    </row>
    <row r="119" spans="1:8" ht="12.75">
      <c r="A119" s="331" t="s">
        <v>606</v>
      </c>
      <c r="B119" s="338" t="s">
        <v>304</v>
      </c>
      <c r="C119" s="372">
        <f>HLOOKUP(Comb_scrd[[#Headers],[Cisco FirePOWER 8350]],PAR_scrd[#All],119,FALSE)</f>
        <v>1</v>
      </c>
      <c r="D119" s="372">
        <f>HLOOKUP(Comb_scrd[[#Headers],[Fortinet FortiGate-1500D]],PAR_scrd[#All],119,FALSE)</f>
        <v>1</v>
      </c>
      <c r="E119" s="372">
        <f>HLOOKUP(Comb_scrd[[#Headers],[HP TippingPoint S7500NX]],PAR_scrd[#All],119,FALSE)</f>
        <v>1</v>
      </c>
      <c r="F119" s="372">
        <f>HLOOKUP(Comb_scrd[[#Headers],[IBM Security Network Protection XGS 5100]],PAR_scrd[#All],119,FALSE)</f>
        <v>1</v>
      </c>
      <c r="G119" s="372">
        <f>HLOOKUP(Comb_scrd[[#Headers],[IBM Security Network Protection XGS 7100]],PAR_scrd[#All],119,FALSE)</f>
        <v>1</v>
      </c>
      <c r="H119" s="372">
        <f>HLOOKUP(Comb_scrd[[#Headers],[Palo Alto Networks PA-5020]],PAR_scrd[#All],119,FALSE)</f>
        <v>1</v>
      </c>
    </row>
    <row r="120" spans="1:8" ht="12.75">
      <c r="A120" s="331" t="s">
        <v>607</v>
      </c>
      <c r="B120" s="338" t="s">
        <v>305</v>
      </c>
      <c r="C120" s="372">
        <f>HLOOKUP(Comb_scrd[[#Headers],[Cisco FirePOWER 8350]],PAR_scrd[#All],120,FALSE)</f>
        <v>1</v>
      </c>
      <c r="D120" s="372">
        <f>HLOOKUP(Comb_scrd[[#Headers],[Fortinet FortiGate-1500D]],PAR_scrd[#All],120,FALSE)</f>
        <v>1</v>
      </c>
      <c r="E120" s="372">
        <f>HLOOKUP(Comb_scrd[[#Headers],[HP TippingPoint S7500NX]],PAR_scrd[#All],120,FALSE)</f>
        <v>1</v>
      </c>
      <c r="F120" s="372">
        <f>HLOOKUP(Comb_scrd[[#Headers],[IBM Security Network Protection XGS 5100]],PAR_scrd[#All],120,FALSE)</f>
        <v>1</v>
      </c>
      <c r="G120" s="372">
        <f>HLOOKUP(Comb_scrd[[#Headers],[IBM Security Network Protection XGS 7100]],PAR_scrd[#All],120,FALSE)</f>
        <v>1</v>
      </c>
      <c r="H120" s="372">
        <f>HLOOKUP(Comb_scrd[[#Headers],[Palo Alto Networks PA-5020]],PAR_scrd[#All],120,FALSE)</f>
        <v>1</v>
      </c>
    </row>
    <row r="121" spans="1:8" ht="12.75">
      <c r="A121" s="331" t="s">
        <v>608</v>
      </c>
      <c r="B121" s="332" t="s">
        <v>306</v>
      </c>
      <c r="C121" s="373">
        <f>HLOOKUP(Comb_scrd[[#Headers],[Cisco FirePOWER 8350]],PAR_scrd[#All],121,FALSE)</f>
        <v>1</v>
      </c>
      <c r="D121" s="373">
        <f>HLOOKUP(Comb_scrd[[#Headers],[Fortinet FortiGate-1500D]],PAR_scrd[#All],121,FALSE)</f>
        <v>1</v>
      </c>
      <c r="E121" s="373">
        <f>HLOOKUP(Comb_scrd[[#Headers],[HP TippingPoint S7500NX]],PAR_scrd[#All],121,FALSE)</f>
        <v>1</v>
      </c>
      <c r="F121" s="373">
        <f>HLOOKUP(Comb_scrd[[#Headers],[IBM Security Network Protection XGS 5100]],PAR_scrd[#All],121,FALSE)</f>
        <v>1</v>
      </c>
      <c r="G121" s="373">
        <f>HLOOKUP(Comb_scrd[[#Headers],[IBM Security Network Protection XGS 7100]],PAR_scrd[#All],121,FALSE)</f>
        <v>1</v>
      </c>
      <c r="H121" s="373">
        <f>HLOOKUP(Comb_scrd[[#Headers],[Palo Alto Networks PA-5020]],PAR_scrd[#All],121,FALSE)</f>
        <v>1</v>
      </c>
    </row>
    <row r="122" spans="1:8" ht="12.75">
      <c r="A122" s="331" t="s">
        <v>609</v>
      </c>
      <c r="B122" s="332" t="s">
        <v>307</v>
      </c>
      <c r="C122" s="373">
        <f>HLOOKUP(Comb_scrd[[#Headers],[Cisco FirePOWER 8350]],PAR_scrd[#All],122,FALSE)</f>
        <v>1</v>
      </c>
      <c r="D122" s="373">
        <f>HLOOKUP(Comb_scrd[[#Headers],[Fortinet FortiGate-1500D]],PAR_scrd[#All],122,FALSE)</f>
        <v>1</v>
      </c>
      <c r="E122" s="373">
        <f>HLOOKUP(Comb_scrd[[#Headers],[HP TippingPoint S7500NX]],PAR_scrd[#All],122,FALSE)</f>
        <v>1</v>
      </c>
      <c r="F122" s="373">
        <f>HLOOKUP(Comb_scrd[[#Headers],[IBM Security Network Protection XGS 5100]],PAR_scrd[#All],122,FALSE)</f>
        <v>1</v>
      </c>
      <c r="G122" s="373">
        <f>HLOOKUP(Comb_scrd[[#Headers],[IBM Security Network Protection XGS 7100]],PAR_scrd[#All],122,FALSE)</f>
        <v>1</v>
      </c>
      <c r="H122" s="373">
        <f>HLOOKUP(Comb_scrd[[#Headers],[Palo Alto Networks PA-5020]],PAR_scrd[#All],122,FALSE)</f>
        <v>1</v>
      </c>
    </row>
    <row r="123" spans="1:8" ht="12.75">
      <c r="A123" s="331" t="s">
        <v>610</v>
      </c>
      <c r="B123" s="338" t="s">
        <v>308</v>
      </c>
      <c r="C123" s="372">
        <f>HLOOKUP(Comb_scrd[[#Headers],[Cisco FirePOWER 8350]],PAR_scrd[#All],123,FALSE)</f>
        <v>1</v>
      </c>
      <c r="D123" s="372">
        <f>HLOOKUP(Comb_scrd[[#Headers],[Fortinet FortiGate-1500D]],PAR_scrd[#All],123,FALSE)</f>
        <v>1</v>
      </c>
      <c r="E123" s="372">
        <f>HLOOKUP(Comb_scrd[[#Headers],[HP TippingPoint S7500NX]],PAR_scrd[#All],123,FALSE)</f>
        <v>1</v>
      </c>
      <c r="F123" s="372">
        <f>HLOOKUP(Comb_scrd[[#Headers],[IBM Security Network Protection XGS 5100]],PAR_scrd[#All],123,FALSE)</f>
        <v>1</v>
      </c>
      <c r="G123" s="372">
        <f>HLOOKUP(Comb_scrd[[#Headers],[IBM Security Network Protection XGS 7100]],PAR_scrd[#All],123,FALSE)</f>
        <v>1</v>
      </c>
      <c r="H123" s="372">
        <f>HLOOKUP(Comb_scrd[[#Headers],[Palo Alto Networks PA-5020]],PAR_scrd[#All],123,FALSE)</f>
        <v>1</v>
      </c>
    </row>
    <row r="124" spans="1:8" ht="12.75">
      <c r="A124" s="331" t="s">
        <v>611</v>
      </c>
      <c r="B124" s="332" t="s">
        <v>309</v>
      </c>
      <c r="C124" s="373">
        <f>HLOOKUP(Comb_scrd[[#Headers],[Cisco FirePOWER 8350]],PAR_scrd[#All],124,FALSE)</f>
        <v>1</v>
      </c>
      <c r="D124" s="373">
        <f>HLOOKUP(Comb_scrd[[#Headers],[Fortinet FortiGate-1500D]],PAR_scrd[#All],124,FALSE)</f>
        <v>1</v>
      </c>
      <c r="E124" s="373">
        <f>HLOOKUP(Comb_scrd[[#Headers],[HP TippingPoint S7500NX]],PAR_scrd[#All],124,FALSE)</f>
        <v>1</v>
      </c>
      <c r="F124" s="373">
        <f>HLOOKUP(Comb_scrd[[#Headers],[IBM Security Network Protection XGS 5100]],PAR_scrd[#All],124,FALSE)</f>
        <v>1</v>
      </c>
      <c r="G124" s="373">
        <f>HLOOKUP(Comb_scrd[[#Headers],[IBM Security Network Protection XGS 7100]],PAR_scrd[#All],124,FALSE)</f>
        <v>1</v>
      </c>
      <c r="H124" s="373">
        <f>HLOOKUP(Comb_scrd[[#Headers],[Palo Alto Networks PA-5020]],PAR_scrd[#All],124,FALSE)</f>
        <v>1</v>
      </c>
    </row>
    <row r="125" spans="1:8" ht="12.75">
      <c r="A125" s="331" t="s">
        <v>612</v>
      </c>
      <c r="B125" s="332" t="s">
        <v>310</v>
      </c>
      <c r="C125" s="373">
        <f>HLOOKUP(Comb_scrd[[#Headers],[Cisco FirePOWER 8350]],PAR_scrd[#All],125,FALSE)</f>
        <v>1</v>
      </c>
      <c r="D125" s="373">
        <f>HLOOKUP(Comb_scrd[[#Headers],[Fortinet FortiGate-1500D]],PAR_scrd[#All],125,FALSE)</f>
        <v>1</v>
      </c>
      <c r="E125" s="373">
        <f>HLOOKUP(Comb_scrd[[#Headers],[HP TippingPoint S7500NX]],PAR_scrd[#All],125,FALSE)</f>
        <v>1</v>
      </c>
      <c r="F125" s="373">
        <f>HLOOKUP(Comb_scrd[[#Headers],[IBM Security Network Protection XGS 5100]],PAR_scrd[#All],125,FALSE)</f>
        <v>1</v>
      </c>
      <c r="G125" s="373">
        <f>HLOOKUP(Comb_scrd[[#Headers],[IBM Security Network Protection XGS 7100]],PAR_scrd[#All],125,FALSE)</f>
        <v>1</v>
      </c>
      <c r="H125" s="373">
        <f>HLOOKUP(Comb_scrd[[#Headers],[Palo Alto Networks PA-5020]],PAR_scrd[#All],125,FALSE)</f>
        <v>1</v>
      </c>
    </row>
    <row r="126" spans="1:8" ht="12.75">
      <c r="A126" s="331" t="s">
        <v>613</v>
      </c>
      <c r="B126" s="332" t="s">
        <v>311</v>
      </c>
      <c r="C126" s="373">
        <f>HLOOKUP(Comb_scrd[[#Headers],[Cisco FirePOWER 8350]],PAR_scrd[#All],126,FALSE)</f>
        <v>1</v>
      </c>
      <c r="D126" s="373">
        <f>HLOOKUP(Comb_scrd[[#Headers],[Fortinet FortiGate-1500D]],PAR_scrd[#All],126,FALSE)</f>
        <v>1</v>
      </c>
      <c r="E126" s="373">
        <f>HLOOKUP(Comb_scrd[[#Headers],[HP TippingPoint S7500NX]],PAR_scrd[#All],126,FALSE)</f>
        <v>1</v>
      </c>
      <c r="F126" s="373">
        <f>HLOOKUP(Comb_scrd[[#Headers],[IBM Security Network Protection XGS 5100]],PAR_scrd[#All],126,FALSE)</f>
        <v>1</v>
      </c>
      <c r="G126" s="373">
        <f>HLOOKUP(Comb_scrd[[#Headers],[IBM Security Network Protection XGS 7100]],PAR_scrd[#All],126,FALSE)</f>
        <v>1</v>
      </c>
      <c r="H126" s="373">
        <f>HLOOKUP(Comb_scrd[[#Headers],[Palo Alto Networks PA-5020]],PAR_scrd[#All],126,FALSE)</f>
        <v>1</v>
      </c>
    </row>
    <row r="127" spans="1:8" ht="12.75">
      <c r="A127" s="331" t="s">
        <v>614</v>
      </c>
      <c r="B127" s="332" t="s">
        <v>312</v>
      </c>
      <c r="C127" s="373">
        <f>HLOOKUP(Comb_scrd[[#Headers],[Cisco FirePOWER 8350]],PAR_scrd[#All],127,FALSE)</f>
        <v>1</v>
      </c>
      <c r="D127" s="373">
        <f>HLOOKUP(Comb_scrd[[#Headers],[Fortinet FortiGate-1500D]],PAR_scrd[#All],127,FALSE)</f>
        <v>1</v>
      </c>
      <c r="E127" s="373">
        <f>HLOOKUP(Comb_scrd[[#Headers],[HP TippingPoint S7500NX]],PAR_scrd[#All],127,FALSE)</f>
        <v>1</v>
      </c>
      <c r="F127" s="373">
        <f>HLOOKUP(Comb_scrd[[#Headers],[IBM Security Network Protection XGS 5100]],PAR_scrd[#All],127,FALSE)</f>
        <v>1</v>
      </c>
      <c r="G127" s="373">
        <f>HLOOKUP(Comb_scrd[[#Headers],[IBM Security Network Protection XGS 7100]],PAR_scrd[#All],127,FALSE)</f>
        <v>1</v>
      </c>
      <c r="H127" s="373">
        <f>HLOOKUP(Comb_scrd[[#Headers],[Palo Alto Networks PA-5020]],PAR_scrd[#All],127,FALSE)</f>
        <v>1</v>
      </c>
    </row>
    <row r="128" spans="1:8" ht="12.75">
      <c r="A128" s="331" t="s">
        <v>615</v>
      </c>
      <c r="B128" s="332" t="s">
        <v>313</v>
      </c>
      <c r="C128" s="373">
        <f>HLOOKUP(Comb_scrd[[#Headers],[Cisco FirePOWER 8350]],PAR_scrd[#All],128,FALSE)</f>
        <v>1</v>
      </c>
      <c r="D128" s="373">
        <f>HLOOKUP(Comb_scrd[[#Headers],[Fortinet FortiGate-1500D]],PAR_scrd[#All],128,FALSE)</f>
        <v>1</v>
      </c>
      <c r="E128" s="373">
        <f>HLOOKUP(Comb_scrd[[#Headers],[HP TippingPoint S7500NX]],PAR_scrd[#All],128,FALSE)</f>
        <v>1</v>
      </c>
      <c r="F128" s="373">
        <f>HLOOKUP(Comb_scrd[[#Headers],[IBM Security Network Protection XGS 5100]],PAR_scrd[#All],128,FALSE)</f>
        <v>1</v>
      </c>
      <c r="G128" s="373">
        <f>HLOOKUP(Comb_scrd[[#Headers],[IBM Security Network Protection XGS 7100]],PAR_scrd[#All],128,FALSE)</f>
        <v>1</v>
      </c>
      <c r="H128" s="373">
        <f>HLOOKUP(Comb_scrd[[#Headers],[Palo Alto Networks PA-5020]],PAR_scrd[#All],128,FALSE)</f>
        <v>1</v>
      </c>
    </row>
    <row r="129" spans="1:8" ht="12.75">
      <c r="A129" s="331" t="s">
        <v>616</v>
      </c>
      <c r="B129" s="338" t="s">
        <v>314</v>
      </c>
      <c r="C129" s="372">
        <f>HLOOKUP(Comb_scrd[[#Headers],[Cisco FirePOWER 8350]],PAR_scrd[#All],129,FALSE)</f>
        <v>1</v>
      </c>
      <c r="D129" s="372">
        <f>HLOOKUP(Comb_scrd[[#Headers],[Fortinet FortiGate-1500D]],PAR_scrd[#All],129,FALSE)</f>
        <v>1</v>
      </c>
      <c r="E129" s="372">
        <f>HLOOKUP(Comb_scrd[[#Headers],[HP TippingPoint S7500NX]],PAR_scrd[#All],129,FALSE)</f>
        <v>1</v>
      </c>
      <c r="F129" s="372">
        <f>HLOOKUP(Comb_scrd[[#Headers],[IBM Security Network Protection XGS 5100]],PAR_scrd[#All],129,FALSE)</f>
        <v>1</v>
      </c>
      <c r="G129" s="372">
        <f>HLOOKUP(Comb_scrd[[#Headers],[IBM Security Network Protection XGS 7100]],PAR_scrd[#All],129,FALSE)</f>
        <v>1</v>
      </c>
      <c r="H129" s="372">
        <f>HLOOKUP(Comb_scrd[[#Headers],[Palo Alto Networks PA-5020]],PAR_scrd[#All],129,FALSE)</f>
        <v>1</v>
      </c>
    </row>
    <row r="130" spans="1:8" ht="12.75">
      <c r="A130" s="336" t="s">
        <v>617</v>
      </c>
      <c r="B130" s="336" t="s">
        <v>191</v>
      </c>
      <c r="C130" s="371">
        <f>HLOOKUP(Comb_scrd[[#Headers],[Cisco FirePOWER 8350]],PAR_scrd[#All],130,FALSE)</f>
        <v>1</v>
      </c>
      <c r="D130" s="371">
        <f>HLOOKUP(Comb_scrd[[#Headers],[Fortinet FortiGate-1500D]],PAR_scrd[#All],130,FALSE)</f>
        <v>1</v>
      </c>
      <c r="E130" s="371">
        <f>HLOOKUP(Comb_scrd[[#Headers],[HP TippingPoint S7500NX]],PAR_scrd[#All],130,FALSE)</f>
        <v>1</v>
      </c>
      <c r="F130" s="371">
        <f>HLOOKUP(Comb_scrd[[#Headers],[IBM Security Network Protection XGS 5100]],PAR_scrd[#All],130,FALSE)</f>
        <v>1</v>
      </c>
      <c r="G130" s="371">
        <f>HLOOKUP(Comb_scrd[[#Headers],[IBM Security Network Protection XGS 7100]],PAR_scrd[#All],130,FALSE)</f>
        <v>1</v>
      </c>
      <c r="H130" s="371">
        <f>HLOOKUP(Comb_scrd[[#Headers],[Palo Alto Networks PA-5020]],PAR_scrd[#All],130,FALSE)</f>
        <v>1</v>
      </c>
    </row>
    <row r="131" spans="1:8" ht="12.75">
      <c r="A131" s="331" t="s">
        <v>618</v>
      </c>
      <c r="B131" s="332" t="s">
        <v>315</v>
      </c>
      <c r="C131" s="373">
        <f>HLOOKUP(Comb_scrd[[#Headers],[Cisco FirePOWER 8350]],PAR_scrd[#All],131,FALSE)</f>
        <v>1</v>
      </c>
      <c r="D131" s="373">
        <f>HLOOKUP(Comb_scrd[[#Headers],[Fortinet FortiGate-1500D]],PAR_scrd[#All],131,FALSE)</f>
        <v>1</v>
      </c>
      <c r="E131" s="373">
        <f>HLOOKUP(Comb_scrd[[#Headers],[HP TippingPoint S7500NX]],PAR_scrd[#All],131,FALSE)</f>
        <v>1</v>
      </c>
      <c r="F131" s="373">
        <f>HLOOKUP(Comb_scrd[[#Headers],[IBM Security Network Protection XGS 5100]],PAR_scrd[#All],131,FALSE)</f>
        <v>1</v>
      </c>
      <c r="G131" s="373">
        <f>HLOOKUP(Comb_scrd[[#Headers],[IBM Security Network Protection XGS 7100]],PAR_scrd[#All],131,FALSE)</f>
        <v>1</v>
      </c>
      <c r="H131" s="373">
        <f>HLOOKUP(Comb_scrd[[#Headers],[Palo Alto Networks PA-5020]],PAR_scrd[#All],131,FALSE)</f>
        <v>1</v>
      </c>
    </row>
    <row r="132" spans="1:8" ht="12.75">
      <c r="A132" s="331" t="s">
        <v>619</v>
      </c>
      <c r="B132" s="332" t="s">
        <v>316</v>
      </c>
      <c r="C132" s="373">
        <f>HLOOKUP(Comb_scrd[[#Headers],[Cisco FirePOWER 8350]],PAR_scrd[#All],132,FALSE)</f>
        <v>1</v>
      </c>
      <c r="D132" s="373">
        <f>HLOOKUP(Comb_scrd[[#Headers],[Fortinet FortiGate-1500D]],PAR_scrd[#All],132,FALSE)</f>
        <v>1</v>
      </c>
      <c r="E132" s="373">
        <f>HLOOKUP(Comb_scrd[[#Headers],[HP TippingPoint S7500NX]],PAR_scrd[#All],132,FALSE)</f>
        <v>1</v>
      </c>
      <c r="F132" s="373">
        <f>HLOOKUP(Comb_scrd[[#Headers],[IBM Security Network Protection XGS 5100]],PAR_scrd[#All],132,FALSE)</f>
        <v>1</v>
      </c>
      <c r="G132" s="373">
        <f>HLOOKUP(Comb_scrd[[#Headers],[IBM Security Network Protection XGS 7100]],PAR_scrd[#All],132,FALSE)</f>
        <v>1</v>
      </c>
      <c r="H132" s="373">
        <f>HLOOKUP(Comb_scrd[[#Headers],[Palo Alto Networks PA-5020]],PAR_scrd[#All],132,FALSE)</f>
        <v>1</v>
      </c>
    </row>
    <row r="133" spans="1:8" ht="12.75">
      <c r="A133" s="331" t="s">
        <v>620</v>
      </c>
      <c r="B133" s="332" t="s">
        <v>317</v>
      </c>
      <c r="C133" s="373">
        <f>HLOOKUP(Comb_scrd[[#Headers],[Cisco FirePOWER 8350]],PAR_scrd[#All],133,FALSE)</f>
        <v>1</v>
      </c>
      <c r="D133" s="373">
        <f>HLOOKUP(Comb_scrd[[#Headers],[Fortinet FortiGate-1500D]],PAR_scrd[#All],133,FALSE)</f>
        <v>1</v>
      </c>
      <c r="E133" s="373">
        <f>HLOOKUP(Comb_scrd[[#Headers],[HP TippingPoint S7500NX]],PAR_scrd[#All],133,FALSE)</f>
        <v>1</v>
      </c>
      <c r="F133" s="373">
        <f>HLOOKUP(Comb_scrd[[#Headers],[IBM Security Network Protection XGS 5100]],PAR_scrd[#All],133,FALSE)</f>
        <v>1</v>
      </c>
      <c r="G133" s="373">
        <f>HLOOKUP(Comb_scrd[[#Headers],[IBM Security Network Protection XGS 7100]],PAR_scrd[#All],133,FALSE)</f>
        <v>1</v>
      </c>
      <c r="H133" s="373">
        <f>HLOOKUP(Comb_scrd[[#Headers],[Palo Alto Networks PA-5020]],PAR_scrd[#All],133,FALSE)</f>
        <v>1</v>
      </c>
    </row>
    <row r="134" spans="1:8" ht="12.75">
      <c r="A134" s="331" t="s">
        <v>621</v>
      </c>
      <c r="B134" s="332" t="s">
        <v>318</v>
      </c>
      <c r="C134" s="373">
        <f>HLOOKUP(Comb_scrd[[#Headers],[Cisco FirePOWER 8350]],PAR_scrd[#All],134,FALSE)</f>
        <v>1</v>
      </c>
      <c r="D134" s="373">
        <f>HLOOKUP(Comb_scrd[[#Headers],[Fortinet FortiGate-1500D]],PAR_scrd[#All],134,FALSE)</f>
        <v>1</v>
      </c>
      <c r="E134" s="373">
        <f>HLOOKUP(Comb_scrd[[#Headers],[HP TippingPoint S7500NX]],PAR_scrd[#All],134,FALSE)</f>
        <v>1</v>
      </c>
      <c r="F134" s="373">
        <f>HLOOKUP(Comb_scrd[[#Headers],[IBM Security Network Protection XGS 5100]],PAR_scrd[#All],134,FALSE)</f>
        <v>1</v>
      </c>
      <c r="G134" s="373">
        <f>HLOOKUP(Comb_scrd[[#Headers],[IBM Security Network Protection XGS 7100]],PAR_scrd[#All],134,FALSE)</f>
        <v>1</v>
      </c>
      <c r="H134" s="373">
        <f>HLOOKUP(Comb_scrd[[#Headers],[Palo Alto Networks PA-5020]],PAR_scrd[#All],134,FALSE)</f>
        <v>1</v>
      </c>
    </row>
    <row r="135" spans="1:8" ht="12.75">
      <c r="A135" s="327" t="s">
        <v>622</v>
      </c>
      <c r="B135" s="327" t="s">
        <v>192</v>
      </c>
      <c r="C135" s="371">
        <f>HLOOKUP(Comb_scrd[[#Headers],[Cisco FirePOWER 8350]],PAR_scrd[#All],135,FALSE)</f>
        <v>1</v>
      </c>
      <c r="D135" s="371">
        <f>HLOOKUP(Comb_scrd[[#Headers],[Fortinet FortiGate-1500D]],PAR_scrd[#All],135,FALSE)</f>
        <v>1</v>
      </c>
      <c r="E135" s="371">
        <f>HLOOKUP(Comb_scrd[[#Headers],[HP TippingPoint S7500NX]],PAR_scrd[#All],135,FALSE)</f>
        <v>1</v>
      </c>
      <c r="F135" s="371">
        <f>HLOOKUP(Comb_scrd[[#Headers],[IBM Security Network Protection XGS 5100]],PAR_scrd[#All],135,FALSE)</f>
        <v>1</v>
      </c>
      <c r="G135" s="371">
        <f>HLOOKUP(Comb_scrd[[#Headers],[IBM Security Network Protection XGS 7100]],PAR_scrd[#All],135,FALSE)</f>
        <v>1</v>
      </c>
      <c r="H135" s="371">
        <f>HLOOKUP(Comb_scrd[[#Headers],[Palo Alto Networks PA-5020]],PAR_scrd[#All],135,FALSE)</f>
        <v>1</v>
      </c>
    </row>
    <row r="136" spans="1:8" ht="12.75">
      <c r="A136" s="331" t="s">
        <v>623</v>
      </c>
      <c r="B136" s="331" t="s">
        <v>319</v>
      </c>
      <c r="C136" s="367">
        <f>HLOOKUP(Comb_scrd[[#Headers],[Cisco FirePOWER 8350]],PAR_scrd[#All],136,FALSE)</f>
        <v>1</v>
      </c>
      <c r="D136" s="367">
        <f>HLOOKUP(Comb_scrd[[#Headers],[Fortinet FortiGate-1500D]],PAR_scrd[#All],136,FALSE)</f>
        <v>1</v>
      </c>
      <c r="E136" s="367">
        <f>HLOOKUP(Comb_scrd[[#Headers],[HP TippingPoint S7500NX]],PAR_scrd[#All],136,FALSE)</f>
        <v>1</v>
      </c>
      <c r="F136" s="367">
        <f>HLOOKUP(Comb_scrd[[#Headers],[IBM Security Network Protection XGS 5100]],PAR_scrd[#All],136,FALSE)</f>
        <v>1</v>
      </c>
      <c r="G136" s="367">
        <f>HLOOKUP(Comb_scrd[[#Headers],[IBM Security Network Protection XGS 7100]],PAR_scrd[#All],136,FALSE)</f>
        <v>1</v>
      </c>
      <c r="H136" s="367">
        <f>HLOOKUP(Comb_scrd[[#Headers],[Palo Alto Networks PA-5020]],PAR_scrd[#All],136,FALSE)</f>
        <v>1</v>
      </c>
    </row>
    <row r="137" spans="1:8" ht="12.75">
      <c r="A137" s="331" t="s">
        <v>624</v>
      </c>
      <c r="B137" s="331" t="s">
        <v>320</v>
      </c>
      <c r="C137" s="367">
        <f>HLOOKUP(Comb_scrd[[#Headers],[Cisco FirePOWER 8350]],PAR_scrd[#All],137,FALSE)</f>
        <v>1</v>
      </c>
      <c r="D137" s="367">
        <f>HLOOKUP(Comb_scrd[[#Headers],[Fortinet FortiGate-1500D]],PAR_scrd[#All],137,FALSE)</f>
        <v>1</v>
      </c>
      <c r="E137" s="367">
        <f>HLOOKUP(Comb_scrd[[#Headers],[HP TippingPoint S7500NX]],PAR_scrd[#All],137,FALSE)</f>
        <v>1</v>
      </c>
      <c r="F137" s="367">
        <f>HLOOKUP(Comb_scrd[[#Headers],[IBM Security Network Protection XGS 5100]],PAR_scrd[#All],137,FALSE)</f>
        <v>1</v>
      </c>
      <c r="G137" s="367">
        <f>HLOOKUP(Comb_scrd[[#Headers],[IBM Security Network Protection XGS 7100]],PAR_scrd[#All],137,FALSE)</f>
        <v>1</v>
      </c>
      <c r="H137" s="367">
        <f>HLOOKUP(Comb_scrd[[#Headers],[Palo Alto Networks PA-5020]],PAR_scrd[#All],137,FALSE)</f>
        <v>1</v>
      </c>
    </row>
    <row r="138" spans="1:8" ht="12.75">
      <c r="A138" s="331" t="s">
        <v>625</v>
      </c>
      <c r="B138" s="331" t="s">
        <v>321</v>
      </c>
      <c r="C138" s="367">
        <f>HLOOKUP(Comb_scrd[[#Headers],[Cisco FirePOWER 8350]],PAR_scrd[#All],138,FALSE)</f>
        <v>1</v>
      </c>
      <c r="D138" s="367">
        <f>HLOOKUP(Comb_scrd[[#Headers],[Fortinet FortiGate-1500D]],PAR_scrd[#All],138,FALSE)</f>
        <v>1</v>
      </c>
      <c r="E138" s="367">
        <f>HLOOKUP(Comb_scrd[[#Headers],[HP TippingPoint S7500NX]],PAR_scrd[#All],138,FALSE)</f>
        <v>1</v>
      </c>
      <c r="F138" s="367">
        <f>HLOOKUP(Comb_scrd[[#Headers],[IBM Security Network Protection XGS 5100]],PAR_scrd[#All],138,FALSE)</f>
        <v>1</v>
      </c>
      <c r="G138" s="367">
        <f>HLOOKUP(Comb_scrd[[#Headers],[IBM Security Network Protection XGS 7100]],PAR_scrd[#All],138,FALSE)</f>
        <v>1</v>
      </c>
      <c r="H138" s="367">
        <f>HLOOKUP(Comb_scrd[[#Headers],[Palo Alto Networks PA-5020]],PAR_scrd[#All],138,FALSE)</f>
        <v>1</v>
      </c>
    </row>
    <row r="139" spans="1:8" ht="12.75">
      <c r="A139" s="331" t="s">
        <v>626</v>
      </c>
      <c r="B139" s="331" t="s">
        <v>322</v>
      </c>
      <c r="C139" s="367">
        <f>HLOOKUP(Comb_scrd[[#Headers],[Cisco FirePOWER 8350]],PAR_scrd[#All],139,FALSE)</f>
        <v>1</v>
      </c>
      <c r="D139" s="367">
        <f>HLOOKUP(Comb_scrd[[#Headers],[Fortinet FortiGate-1500D]],PAR_scrd[#All],139,FALSE)</f>
        <v>1</v>
      </c>
      <c r="E139" s="367">
        <f>HLOOKUP(Comb_scrd[[#Headers],[HP TippingPoint S7500NX]],PAR_scrd[#All],139,FALSE)</f>
        <v>1</v>
      </c>
      <c r="F139" s="367">
        <f>HLOOKUP(Comb_scrd[[#Headers],[IBM Security Network Protection XGS 5100]],PAR_scrd[#All],139,FALSE)</f>
        <v>1</v>
      </c>
      <c r="G139" s="367">
        <f>HLOOKUP(Comb_scrd[[#Headers],[IBM Security Network Protection XGS 7100]],PAR_scrd[#All],139,FALSE)</f>
        <v>1</v>
      </c>
      <c r="H139" s="367">
        <f>HLOOKUP(Comb_scrd[[#Headers],[Palo Alto Networks PA-5020]],PAR_scrd[#All],139,FALSE)</f>
        <v>1</v>
      </c>
    </row>
    <row r="140" spans="1:8" ht="12.75">
      <c r="A140" s="331" t="s">
        <v>627</v>
      </c>
      <c r="B140" s="331" t="s">
        <v>323</v>
      </c>
      <c r="C140" s="367">
        <f>HLOOKUP(Comb_scrd[[#Headers],[Cisco FirePOWER 8350]],PAR_scrd[#All],140,FALSE)</f>
        <v>1</v>
      </c>
      <c r="D140" s="367">
        <f>HLOOKUP(Comb_scrd[[#Headers],[Fortinet FortiGate-1500D]],PAR_scrd[#All],140,FALSE)</f>
        <v>1</v>
      </c>
      <c r="E140" s="367">
        <f>HLOOKUP(Comb_scrd[[#Headers],[HP TippingPoint S7500NX]],PAR_scrd[#All],140,FALSE)</f>
        <v>1</v>
      </c>
      <c r="F140" s="367">
        <f>HLOOKUP(Comb_scrd[[#Headers],[IBM Security Network Protection XGS 5100]],PAR_scrd[#All],140,FALSE)</f>
        <v>1</v>
      </c>
      <c r="G140" s="367">
        <f>HLOOKUP(Comb_scrd[[#Headers],[IBM Security Network Protection XGS 7100]],PAR_scrd[#All],140,FALSE)</f>
        <v>1</v>
      </c>
      <c r="H140" s="367">
        <f>HLOOKUP(Comb_scrd[[#Headers],[Palo Alto Networks PA-5020]],PAR_scrd[#All],140,FALSE)</f>
        <v>1</v>
      </c>
    </row>
    <row r="141" spans="1:8" ht="12.75">
      <c r="A141" s="331" t="s">
        <v>628</v>
      </c>
      <c r="B141" s="331" t="s">
        <v>324</v>
      </c>
      <c r="C141" s="367">
        <f>HLOOKUP(Comb_scrd[[#Headers],[Cisco FirePOWER 8350]],PAR_scrd[#All],141,FALSE)</f>
        <v>1</v>
      </c>
      <c r="D141" s="367">
        <f>HLOOKUP(Comb_scrd[[#Headers],[Fortinet FortiGate-1500D]],PAR_scrd[#All],141,FALSE)</f>
        <v>1</v>
      </c>
      <c r="E141" s="367">
        <f>HLOOKUP(Comb_scrd[[#Headers],[HP TippingPoint S7500NX]],PAR_scrd[#All],141,FALSE)</f>
        <v>1</v>
      </c>
      <c r="F141" s="367">
        <f>HLOOKUP(Comb_scrd[[#Headers],[IBM Security Network Protection XGS 5100]],PAR_scrd[#All],141,FALSE)</f>
        <v>1</v>
      </c>
      <c r="G141" s="367">
        <f>HLOOKUP(Comb_scrd[[#Headers],[IBM Security Network Protection XGS 7100]],PAR_scrd[#All],141,FALSE)</f>
        <v>1</v>
      </c>
      <c r="H141" s="367">
        <f>HLOOKUP(Comb_scrd[[#Headers],[Palo Alto Networks PA-5020]],PAR_scrd[#All],141,FALSE)</f>
        <v>1</v>
      </c>
    </row>
    <row r="142" spans="1:8" ht="12.75">
      <c r="A142" s="331" t="s">
        <v>629</v>
      </c>
      <c r="B142" s="331" t="s">
        <v>325</v>
      </c>
      <c r="C142" s="367">
        <f>HLOOKUP(Comb_scrd[[#Headers],[Cisco FirePOWER 8350]],PAR_scrd[#All],142,FALSE)</f>
        <v>1</v>
      </c>
      <c r="D142" s="367">
        <f>HLOOKUP(Comb_scrd[[#Headers],[Fortinet FortiGate-1500D]],PAR_scrd[#All],142,FALSE)</f>
        <v>1</v>
      </c>
      <c r="E142" s="367">
        <f>HLOOKUP(Comb_scrd[[#Headers],[HP TippingPoint S7500NX]],PAR_scrd[#All],142,FALSE)</f>
        <v>1</v>
      </c>
      <c r="F142" s="367">
        <f>HLOOKUP(Comb_scrd[[#Headers],[IBM Security Network Protection XGS 5100]],PAR_scrd[#All],142,FALSE)</f>
        <v>1</v>
      </c>
      <c r="G142" s="367">
        <f>HLOOKUP(Comb_scrd[[#Headers],[IBM Security Network Protection XGS 7100]],PAR_scrd[#All],142,FALSE)</f>
        <v>1</v>
      </c>
      <c r="H142" s="367">
        <f>HLOOKUP(Comb_scrd[[#Headers],[Palo Alto Networks PA-5020]],PAR_scrd[#All],142,FALSE)</f>
        <v>1</v>
      </c>
    </row>
    <row r="143" spans="1:8" ht="12.75">
      <c r="A143" s="331" t="s">
        <v>630</v>
      </c>
      <c r="B143" s="329" t="s">
        <v>326</v>
      </c>
      <c r="C143" s="367">
        <f>HLOOKUP(Comb_scrd[[#Headers],[Cisco FirePOWER 8350]],PAR_scrd[#All],143,FALSE)</f>
        <v>1</v>
      </c>
      <c r="D143" s="367">
        <f>HLOOKUP(Comb_scrd[[#Headers],[Fortinet FortiGate-1500D]],PAR_scrd[#All],143,FALSE)</f>
        <v>1</v>
      </c>
      <c r="E143" s="367">
        <f>HLOOKUP(Comb_scrd[[#Headers],[HP TippingPoint S7500NX]],PAR_scrd[#All],143,FALSE)</f>
        <v>1</v>
      </c>
      <c r="F143" s="367">
        <f>HLOOKUP(Comb_scrd[[#Headers],[IBM Security Network Protection XGS 5100]],PAR_scrd[#All],143,FALSE)</f>
        <v>1</v>
      </c>
      <c r="G143" s="367">
        <f>HLOOKUP(Comb_scrd[[#Headers],[IBM Security Network Protection XGS 7100]],PAR_scrd[#All],143,FALSE)</f>
        <v>1</v>
      </c>
      <c r="H143" s="367">
        <f>HLOOKUP(Comb_scrd[[#Headers],[Palo Alto Networks PA-5020]],PAR_scrd[#All],143,FALSE)</f>
        <v>1</v>
      </c>
    </row>
    <row r="144" spans="1:8" ht="12.75">
      <c r="A144" s="331" t="s">
        <v>631</v>
      </c>
      <c r="B144" s="329" t="s">
        <v>327</v>
      </c>
      <c r="C144" s="367">
        <f>HLOOKUP(Comb_scrd[[#Headers],[Cisco FirePOWER 8350]],PAR_scrd[#All],144,FALSE)</f>
        <v>1</v>
      </c>
      <c r="D144" s="367">
        <f>HLOOKUP(Comb_scrd[[#Headers],[Fortinet FortiGate-1500D]],PAR_scrd[#All],144,FALSE)</f>
        <v>1</v>
      </c>
      <c r="E144" s="367">
        <f>HLOOKUP(Comb_scrd[[#Headers],[HP TippingPoint S7500NX]],PAR_scrd[#All],144,FALSE)</f>
        <v>1</v>
      </c>
      <c r="F144" s="367">
        <f>HLOOKUP(Comb_scrd[[#Headers],[IBM Security Network Protection XGS 5100]],PAR_scrd[#All],144,FALSE)</f>
        <v>1</v>
      </c>
      <c r="G144" s="367">
        <f>HLOOKUP(Comb_scrd[[#Headers],[IBM Security Network Protection XGS 7100]],PAR_scrd[#All],144,FALSE)</f>
        <v>1</v>
      </c>
      <c r="H144" s="367">
        <f>HLOOKUP(Comb_scrd[[#Headers],[Palo Alto Networks PA-5020]],PAR_scrd[#All],144,FALSE)</f>
        <v>1</v>
      </c>
    </row>
    <row r="145" spans="1:8" ht="12.75">
      <c r="A145" s="336" t="s">
        <v>632</v>
      </c>
      <c r="B145" s="336" t="s">
        <v>328</v>
      </c>
      <c r="C145" s="371"/>
      <c r="D145" s="371"/>
      <c r="E145" s="371"/>
      <c r="F145" s="371"/>
      <c r="G145" s="371"/>
      <c r="H145" s="371"/>
    </row>
    <row r="146" spans="1:8" ht="12.75">
      <c r="A146" s="336" t="s">
        <v>633</v>
      </c>
      <c r="B146" s="336" t="s">
        <v>193</v>
      </c>
      <c r="C146" s="371">
        <f>HLOOKUP(Comb_scrd[[#Headers],[Cisco FirePOWER 8350]],PAR_scrd[#All],146,FALSE)</f>
        <v>1</v>
      </c>
      <c r="D146" s="371">
        <f>HLOOKUP(Comb_scrd[[#Headers],[Fortinet FortiGate-1500D]],PAR_scrd[#All],146,FALSE)</f>
        <v>1</v>
      </c>
      <c r="E146" s="371">
        <f>HLOOKUP(Comb_scrd[[#Headers],[HP TippingPoint S7500NX]],PAR_scrd[#All],146,FALSE)</f>
        <v>1</v>
      </c>
      <c r="F146" s="371">
        <f>HLOOKUP(Comb_scrd[[#Headers],[IBM Security Network Protection XGS 5100]],PAR_scrd[#All],146,FALSE)</f>
        <v>1</v>
      </c>
      <c r="G146" s="371">
        <f>HLOOKUP(Comb_scrd[[#Headers],[IBM Security Network Protection XGS 7100]],PAR_scrd[#All],146,FALSE)</f>
        <v>1</v>
      </c>
      <c r="H146" s="371">
        <f>HLOOKUP(Comb_scrd[[#Headers],[Palo Alto Networks PA-5020]],PAR_scrd[#All],146,FALSE)</f>
        <v>1</v>
      </c>
    </row>
    <row r="147" spans="1:8" ht="12.75">
      <c r="A147" s="331" t="s">
        <v>634</v>
      </c>
      <c r="B147" s="331" t="s">
        <v>329</v>
      </c>
      <c r="C147" s="367">
        <f>HLOOKUP(Comb_scrd[[#Headers],[Cisco FirePOWER 8350]],PAR_scrd[#All],147,FALSE)</f>
        <v>1</v>
      </c>
      <c r="D147" s="367">
        <f>HLOOKUP(Comb_scrd[[#Headers],[Fortinet FortiGate-1500D]],PAR_scrd[#All],147,FALSE)</f>
        <v>1</v>
      </c>
      <c r="E147" s="367">
        <f>HLOOKUP(Comb_scrd[[#Headers],[HP TippingPoint S7500NX]],PAR_scrd[#All],147,FALSE)</f>
        <v>1</v>
      </c>
      <c r="F147" s="367">
        <f>HLOOKUP(Comb_scrd[[#Headers],[IBM Security Network Protection XGS 5100]],PAR_scrd[#All],147,FALSE)</f>
        <v>1</v>
      </c>
      <c r="G147" s="367">
        <f>HLOOKUP(Comb_scrd[[#Headers],[IBM Security Network Protection XGS 7100]],PAR_scrd[#All],147,FALSE)</f>
        <v>1</v>
      </c>
      <c r="H147" s="367">
        <f>HLOOKUP(Comb_scrd[[#Headers],[Palo Alto Networks PA-5020]],PAR_scrd[#All],147,FALSE)</f>
        <v>1</v>
      </c>
    </row>
    <row r="148" spans="1:8" ht="12.75">
      <c r="A148" s="331" t="s">
        <v>635</v>
      </c>
      <c r="B148" s="331" t="s">
        <v>330</v>
      </c>
      <c r="C148" s="367">
        <f>HLOOKUP(Comb_scrd[[#Headers],[Cisco FirePOWER 8350]],PAR_scrd[#All],148,FALSE)</f>
        <v>1</v>
      </c>
      <c r="D148" s="367">
        <f>HLOOKUP(Comb_scrd[[#Headers],[Fortinet FortiGate-1500D]],PAR_scrd[#All],148,FALSE)</f>
        <v>1</v>
      </c>
      <c r="E148" s="367">
        <f>HLOOKUP(Comb_scrd[[#Headers],[HP TippingPoint S7500NX]],PAR_scrd[#All],148,FALSE)</f>
        <v>1</v>
      </c>
      <c r="F148" s="367">
        <f>HLOOKUP(Comb_scrd[[#Headers],[IBM Security Network Protection XGS 5100]],PAR_scrd[#All],148,FALSE)</f>
        <v>1</v>
      </c>
      <c r="G148" s="367">
        <f>HLOOKUP(Comb_scrd[[#Headers],[IBM Security Network Protection XGS 7100]],PAR_scrd[#All],148,FALSE)</f>
        <v>1</v>
      </c>
      <c r="H148" s="367">
        <f>HLOOKUP(Comb_scrd[[#Headers],[Palo Alto Networks PA-5020]],PAR_scrd[#All],148,FALSE)</f>
        <v>1</v>
      </c>
    </row>
    <row r="149" spans="1:8" ht="12.75">
      <c r="A149" s="331" t="s">
        <v>636</v>
      </c>
      <c r="B149" s="331" t="s">
        <v>331</v>
      </c>
      <c r="C149" s="367">
        <f>HLOOKUP(Comb_scrd[[#Headers],[Cisco FirePOWER 8350]],PAR_scrd[#All],149,FALSE)</f>
        <v>1</v>
      </c>
      <c r="D149" s="367">
        <f>HLOOKUP(Comb_scrd[[#Headers],[Fortinet FortiGate-1500D]],PAR_scrd[#All],149,FALSE)</f>
        <v>1</v>
      </c>
      <c r="E149" s="367">
        <f>HLOOKUP(Comb_scrd[[#Headers],[HP TippingPoint S7500NX]],PAR_scrd[#All],149,FALSE)</f>
        <v>1</v>
      </c>
      <c r="F149" s="367">
        <f>HLOOKUP(Comb_scrd[[#Headers],[IBM Security Network Protection XGS 5100]],PAR_scrd[#All],149,FALSE)</f>
        <v>1</v>
      </c>
      <c r="G149" s="367">
        <f>HLOOKUP(Comb_scrd[[#Headers],[IBM Security Network Protection XGS 7100]],PAR_scrd[#All],149,FALSE)</f>
        <v>1</v>
      </c>
      <c r="H149" s="367">
        <f>HLOOKUP(Comb_scrd[[#Headers],[Palo Alto Networks PA-5020]],PAR_scrd[#All],149,FALSE)</f>
        <v>1</v>
      </c>
    </row>
    <row r="150" spans="1:8" ht="25.5">
      <c r="A150" s="331" t="s">
        <v>637</v>
      </c>
      <c r="B150" s="331" t="s">
        <v>332</v>
      </c>
      <c r="C150" s="367">
        <f>HLOOKUP(Comb_scrd[[#Headers],[Cisco FirePOWER 8350]],PAR_scrd[#All],150,FALSE)</f>
        <v>1</v>
      </c>
      <c r="D150" s="367">
        <f>HLOOKUP(Comb_scrd[[#Headers],[Fortinet FortiGate-1500D]],PAR_scrd[#All],150,FALSE)</f>
        <v>1</v>
      </c>
      <c r="E150" s="367">
        <f>HLOOKUP(Comb_scrd[[#Headers],[HP TippingPoint S7500NX]],PAR_scrd[#All],150,FALSE)</f>
        <v>1</v>
      </c>
      <c r="F150" s="367">
        <f>HLOOKUP(Comb_scrd[[#Headers],[IBM Security Network Protection XGS 5100]],PAR_scrd[#All],150,FALSE)</f>
        <v>1</v>
      </c>
      <c r="G150" s="367">
        <f>HLOOKUP(Comb_scrd[[#Headers],[IBM Security Network Protection XGS 7100]],PAR_scrd[#All],150,FALSE)</f>
        <v>1</v>
      </c>
      <c r="H150" s="367">
        <f>HLOOKUP(Comb_scrd[[#Headers],[Palo Alto Networks PA-5020]],PAR_scrd[#All],150,FALSE)</f>
        <v>1</v>
      </c>
    </row>
    <row r="151" spans="1:8" ht="25.5">
      <c r="A151" s="331" t="s">
        <v>638</v>
      </c>
      <c r="B151" s="331" t="s">
        <v>333</v>
      </c>
      <c r="C151" s="367">
        <f>HLOOKUP(Comb_scrd[[#Headers],[Cisco FirePOWER 8350]],PAR_scrd[#All],151,FALSE)</f>
        <v>1</v>
      </c>
      <c r="D151" s="367">
        <f>HLOOKUP(Comb_scrd[[#Headers],[Fortinet FortiGate-1500D]],PAR_scrd[#All],151,FALSE)</f>
        <v>1</v>
      </c>
      <c r="E151" s="367">
        <f>HLOOKUP(Comb_scrd[[#Headers],[HP TippingPoint S7500NX]],PAR_scrd[#All],151,FALSE)</f>
        <v>1</v>
      </c>
      <c r="F151" s="367">
        <f>HLOOKUP(Comb_scrd[[#Headers],[IBM Security Network Protection XGS 5100]],PAR_scrd[#All],151,FALSE)</f>
        <v>1</v>
      </c>
      <c r="G151" s="367">
        <f>HLOOKUP(Comb_scrd[[#Headers],[IBM Security Network Protection XGS 7100]],PAR_scrd[#All],151,FALSE)</f>
        <v>1</v>
      </c>
      <c r="H151" s="367">
        <f>HLOOKUP(Comb_scrd[[#Headers],[Palo Alto Networks PA-5020]],PAR_scrd[#All],151,FALSE)</f>
        <v>1</v>
      </c>
    </row>
    <row r="152" spans="1:8" ht="25.5">
      <c r="A152" s="331" t="s">
        <v>639</v>
      </c>
      <c r="B152" s="331" t="s">
        <v>334</v>
      </c>
      <c r="C152" s="367">
        <f>HLOOKUP(Comb_scrd[[#Headers],[Cisco FirePOWER 8350]],PAR_scrd[#All],152,FALSE)</f>
        <v>1</v>
      </c>
      <c r="D152" s="367">
        <f>HLOOKUP(Comb_scrd[[#Headers],[Fortinet FortiGate-1500D]],PAR_scrd[#All],152,FALSE)</f>
        <v>1</v>
      </c>
      <c r="E152" s="367">
        <f>HLOOKUP(Comb_scrd[[#Headers],[HP TippingPoint S7500NX]],PAR_scrd[#All],152,FALSE)</f>
        <v>1</v>
      </c>
      <c r="F152" s="367">
        <f>HLOOKUP(Comb_scrd[[#Headers],[IBM Security Network Protection XGS 5100]],PAR_scrd[#All],152,FALSE)</f>
        <v>1</v>
      </c>
      <c r="G152" s="367">
        <f>HLOOKUP(Comb_scrd[[#Headers],[IBM Security Network Protection XGS 7100]],PAR_scrd[#All],152,FALSE)</f>
        <v>1</v>
      </c>
      <c r="H152" s="367">
        <f>HLOOKUP(Comb_scrd[[#Headers],[Palo Alto Networks PA-5020]],PAR_scrd[#All],152,FALSE)</f>
        <v>1</v>
      </c>
    </row>
    <row r="153" spans="1:8" ht="25.5">
      <c r="A153" s="331" t="s">
        <v>640</v>
      </c>
      <c r="B153" s="331" t="s">
        <v>335</v>
      </c>
      <c r="C153" s="367">
        <f>HLOOKUP(Comb_scrd[[#Headers],[Cisco FirePOWER 8350]],PAR_scrd[#All],153,FALSE)</f>
        <v>1</v>
      </c>
      <c r="D153" s="367">
        <f>HLOOKUP(Comb_scrd[[#Headers],[Fortinet FortiGate-1500D]],PAR_scrd[#All],153,FALSE)</f>
        <v>1</v>
      </c>
      <c r="E153" s="367">
        <f>HLOOKUP(Comb_scrd[[#Headers],[HP TippingPoint S7500NX]],PAR_scrd[#All],153,FALSE)</f>
        <v>1</v>
      </c>
      <c r="F153" s="367">
        <f>HLOOKUP(Comb_scrd[[#Headers],[IBM Security Network Protection XGS 5100]],PAR_scrd[#All],153,FALSE)</f>
        <v>1</v>
      </c>
      <c r="G153" s="367">
        <f>HLOOKUP(Comb_scrd[[#Headers],[IBM Security Network Protection XGS 7100]],PAR_scrd[#All],153,FALSE)</f>
        <v>1</v>
      </c>
      <c r="H153" s="367">
        <f>HLOOKUP(Comb_scrd[[#Headers],[Palo Alto Networks PA-5020]],PAR_scrd[#All],153,FALSE)</f>
        <v>1</v>
      </c>
    </row>
    <row r="154" spans="1:8" ht="25.5">
      <c r="A154" s="331" t="s">
        <v>641</v>
      </c>
      <c r="B154" s="331" t="s">
        <v>336</v>
      </c>
      <c r="C154" s="367">
        <f>HLOOKUP(Comb_scrd[[#Headers],[Cisco FirePOWER 8350]],PAR_scrd[#All],154,FALSE)</f>
        <v>1</v>
      </c>
      <c r="D154" s="367">
        <f>HLOOKUP(Comb_scrd[[#Headers],[Fortinet FortiGate-1500D]],PAR_scrd[#All],154,FALSE)</f>
        <v>1</v>
      </c>
      <c r="E154" s="367">
        <f>HLOOKUP(Comb_scrd[[#Headers],[HP TippingPoint S7500NX]],PAR_scrd[#All],154,FALSE)</f>
        <v>1</v>
      </c>
      <c r="F154" s="367">
        <f>HLOOKUP(Comb_scrd[[#Headers],[IBM Security Network Protection XGS 5100]],PAR_scrd[#All],154,FALSE)</f>
        <v>1</v>
      </c>
      <c r="G154" s="367">
        <f>HLOOKUP(Comb_scrd[[#Headers],[IBM Security Network Protection XGS 7100]],PAR_scrd[#All],154,FALSE)</f>
        <v>1</v>
      </c>
      <c r="H154" s="367">
        <f>HLOOKUP(Comb_scrd[[#Headers],[Palo Alto Networks PA-5020]],PAR_scrd[#All],154,FALSE)</f>
        <v>1</v>
      </c>
    </row>
    <row r="155" spans="1:8" ht="25.5">
      <c r="A155" s="331" t="s">
        <v>642</v>
      </c>
      <c r="B155" s="331" t="s">
        <v>337</v>
      </c>
      <c r="C155" s="367">
        <f>HLOOKUP(Comb_scrd[[#Headers],[Cisco FirePOWER 8350]],PAR_scrd[#All],155,FALSE)</f>
        <v>1</v>
      </c>
      <c r="D155" s="367">
        <f>HLOOKUP(Comb_scrd[[#Headers],[Fortinet FortiGate-1500D]],PAR_scrd[#All],155,FALSE)</f>
        <v>1</v>
      </c>
      <c r="E155" s="367">
        <f>HLOOKUP(Comb_scrd[[#Headers],[HP TippingPoint S7500NX]],PAR_scrd[#All],155,FALSE)</f>
        <v>1</v>
      </c>
      <c r="F155" s="367">
        <f>HLOOKUP(Comb_scrd[[#Headers],[IBM Security Network Protection XGS 5100]],PAR_scrd[#All],155,FALSE)</f>
        <v>1</v>
      </c>
      <c r="G155" s="367">
        <f>HLOOKUP(Comb_scrd[[#Headers],[IBM Security Network Protection XGS 7100]],PAR_scrd[#All],155,FALSE)</f>
        <v>1</v>
      </c>
      <c r="H155" s="367">
        <f>HLOOKUP(Comb_scrd[[#Headers],[Palo Alto Networks PA-5020]],PAR_scrd[#All],155,FALSE)</f>
        <v>1</v>
      </c>
    </row>
    <row r="156" spans="1:8" ht="25.5">
      <c r="A156" s="331" t="s">
        <v>643</v>
      </c>
      <c r="B156" s="331" t="s">
        <v>338</v>
      </c>
      <c r="C156" s="367">
        <f>HLOOKUP(Comb_scrd[[#Headers],[Cisco FirePOWER 8350]],PAR_scrd[#All],156,FALSE)</f>
        <v>1</v>
      </c>
      <c r="D156" s="367">
        <f>HLOOKUP(Comb_scrd[[#Headers],[Fortinet FortiGate-1500D]],PAR_scrd[#All],156,FALSE)</f>
        <v>1</v>
      </c>
      <c r="E156" s="367">
        <f>HLOOKUP(Comb_scrd[[#Headers],[HP TippingPoint S7500NX]],PAR_scrd[#All],156,FALSE)</f>
        <v>1</v>
      </c>
      <c r="F156" s="367">
        <f>HLOOKUP(Comb_scrd[[#Headers],[IBM Security Network Protection XGS 5100]],PAR_scrd[#All],156,FALSE)</f>
        <v>1</v>
      </c>
      <c r="G156" s="367">
        <f>HLOOKUP(Comb_scrd[[#Headers],[IBM Security Network Protection XGS 7100]],PAR_scrd[#All],156,FALSE)</f>
        <v>1</v>
      </c>
      <c r="H156" s="367">
        <f>HLOOKUP(Comb_scrd[[#Headers],[Palo Alto Networks PA-5020]],PAR_scrd[#All],156,FALSE)</f>
        <v>1</v>
      </c>
    </row>
    <row r="157" spans="1:8" ht="25.5">
      <c r="A157" s="331" t="s">
        <v>644</v>
      </c>
      <c r="B157" s="331" t="s">
        <v>339</v>
      </c>
      <c r="C157" s="367">
        <f>HLOOKUP(Comb_scrd[[#Headers],[Cisco FirePOWER 8350]],PAR_scrd[#All],157,FALSE)</f>
        <v>1</v>
      </c>
      <c r="D157" s="367">
        <f>HLOOKUP(Comb_scrd[[#Headers],[Fortinet FortiGate-1500D]],PAR_scrd[#All],157,FALSE)</f>
        <v>1</v>
      </c>
      <c r="E157" s="367">
        <f>HLOOKUP(Comb_scrd[[#Headers],[HP TippingPoint S7500NX]],PAR_scrd[#All],157,FALSE)</f>
        <v>1</v>
      </c>
      <c r="F157" s="367">
        <f>HLOOKUP(Comb_scrd[[#Headers],[IBM Security Network Protection XGS 5100]],PAR_scrd[#All],157,FALSE)</f>
        <v>1</v>
      </c>
      <c r="G157" s="367">
        <f>HLOOKUP(Comb_scrd[[#Headers],[IBM Security Network Protection XGS 7100]],PAR_scrd[#All],157,FALSE)</f>
        <v>1</v>
      </c>
      <c r="H157" s="367">
        <f>HLOOKUP(Comb_scrd[[#Headers],[Palo Alto Networks PA-5020]],PAR_scrd[#All],157,FALSE)</f>
        <v>1</v>
      </c>
    </row>
    <row r="158" spans="1:8" ht="25.5">
      <c r="A158" s="331" t="s">
        <v>645</v>
      </c>
      <c r="B158" s="331" t="s">
        <v>340</v>
      </c>
      <c r="C158" s="367">
        <f>HLOOKUP(Comb_scrd[[#Headers],[Cisco FirePOWER 8350]],PAR_scrd[#All],158,FALSE)</f>
        <v>1</v>
      </c>
      <c r="D158" s="367">
        <f>HLOOKUP(Comb_scrd[[#Headers],[Fortinet FortiGate-1500D]],PAR_scrd[#All],158,FALSE)</f>
        <v>1</v>
      </c>
      <c r="E158" s="367">
        <f>HLOOKUP(Comb_scrd[[#Headers],[HP TippingPoint S7500NX]],PAR_scrd[#All],158,FALSE)</f>
        <v>1</v>
      </c>
      <c r="F158" s="367">
        <f>HLOOKUP(Comb_scrd[[#Headers],[IBM Security Network Protection XGS 5100]],PAR_scrd[#All],158,FALSE)</f>
        <v>1</v>
      </c>
      <c r="G158" s="367">
        <f>HLOOKUP(Comb_scrd[[#Headers],[IBM Security Network Protection XGS 7100]],PAR_scrd[#All],158,FALSE)</f>
        <v>1</v>
      </c>
      <c r="H158" s="367">
        <f>HLOOKUP(Comb_scrd[[#Headers],[Palo Alto Networks PA-5020]],PAR_scrd[#All],158,FALSE)</f>
        <v>1</v>
      </c>
    </row>
    <row r="159" spans="1:8" ht="25.5">
      <c r="A159" s="331" t="s">
        <v>646</v>
      </c>
      <c r="B159" s="331" t="s">
        <v>341</v>
      </c>
      <c r="C159" s="367">
        <f>HLOOKUP(Comb_scrd[[#Headers],[Cisco FirePOWER 8350]],PAR_scrd[#All],159,FALSE)</f>
        <v>1</v>
      </c>
      <c r="D159" s="367">
        <f>HLOOKUP(Comb_scrd[[#Headers],[Fortinet FortiGate-1500D]],PAR_scrd[#All],159,FALSE)</f>
        <v>1</v>
      </c>
      <c r="E159" s="367">
        <f>HLOOKUP(Comb_scrd[[#Headers],[HP TippingPoint S7500NX]],PAR_scrd[#All],159,FALSE)</f>
        <v>1</v>
      </c>
      <c r="F159" s="367">
        <f>HLOOKUP(Comb_scrd[[#Headers],[IBM Security Network Protection XGS 5100]],PAR_scrd[#All],159,FALSE)</f>
        <v>1</v>
      </c>
      <c r="G159" s="367">
        <f>HLOOKUP(Comb_scrd[[#Headers],[IBM Security Network Protection XGS 7100]],PAR_scrd[#All],159,FALSE)</f>
        <v>1</v>
      </c>
      <c r="H159" s="367">
        <f>HLOOKUP(Comb_scrd[[#Headers],[Palo Alto Networks PA-5020]],PAR_scrd[#All],159,FALSE)</f>
        <v>1</v>
      </c>
    </row>
    <row r="160" spans="1:8" ht="25.5">
      <c r="A160" s="331" t="s">
        <v>647</v>
      </c>
      <c r="B160" s="331" t="s">
        <v>342</v>
      </c>
      <c r="C160" s="367">
        <f>HLOOKUP(Comb_scrd[[#Headers],[Cisco FirePOWER 8350]],PAR_scrd[#All],160,FALSE)</f>
        <v>1</v>
      </c>
      <c r="D160" s="367">
        <f>HLOOKUP(Comb_scrd[[#Headers],[Fortinet FortiGate-1500D]],PAR_scrd[#All],160,FALSE)</f>
        <v>1</v>
      </c>
      <c r="E160" s="367">
        <f>HLOOKUP(Comb_scrd[[#Headers],[HP TippingPoint S7500NX]],PAR_scrd[#All],160,FALSE)</f>
        <v>1</v>
      </c>
      <c r="F160" s="367">
        <f>HLOOKUP(Comb_scrd[[#Headers],[IBM Security Network Protection XGS 5100]],PAR_scrd[#All],160,FALSE)</f>
        <v>1</v>
      </c>
      <c r="G160" s="367">
        <f>HLOOKUP(Comb_scrd[[#Headers],[IBM Security Network Protection XGS 7100]],PAR_scrd[#All],160,FALSE)</f>
        <v>1</v>
      </c>
      <c r="H160" s="367">
        <f>HLOOKUP(Comb_scrd[[#Headers],[Palo Alto Networks PA-5020]],PAR_scrd[#All],160,FALSE)</f>
        <v>1</v>
      </c>
    </row>
    <row r="161" spans="1:8" ht="12.75">
      <c r="A161" s="336" t="s">
        <v>648</v>
      </c>
      <c r="B161" s="336" t="s">
        <v>194</v>
      </c>
      <c r="C161" s="371">
        <f>HLOOKUP(Comb_scrd[[#Headers],[Cisco FirePOWER 8350]],PAR_scrd[#All],161,FALSE)</f>
        <v>1</v>
      </c>
      <c r="D161" s="371">
        <f>HLOOKUP(Comb_scrd[[#Headers],[Fortinet FortiGate-1500D]],PAR_scrd[#All],161,FALSE)</f>
        <v>1</v>
      </c>
      <c r="E161" s="371">
        <f>HLOOKUP(Comb_scrd[[#Headers],[HP TippingPoint S7500NX]],PAR_scrd[#All],161,FALSE)</f>
        <v>1</v>
      </c>
      <c r="F161" s="371">
        <f>HLOOKUP(Comb_scrd[[#Headers],[IBM Security Network Protection XGS 5100]],PAR_scrd[#All],161,FALSE)</f>
        <v>1</v>
      </c>
      <c r="G161" s="371">
        <f>HLOOKUP(Comb_scrd[[#Headers],[IBM Security Network Protection XGS 7100]],PAR_scrd[#All],161,FALSE)</f>
        <v>1</v>
      </c>
      <c r="H161" s="371">
        <f>HLOOKUP(Comb_scrd[[#Headers],[Palo Alto Networks PA-5020]],PAR_scrd[#All],161,FALSE)</f>
        <v>1</v>
      </c>
    </row>
    <row r="162" spans="1:8" ht="38.25">
      <c r="A162" s="331" t="s">
        <v>649</v>
      </c>
      <c r="B162" s="331" t="s">
        <v>343</v>
      </c>
      <c r="C162" s="367">
        <f>HLOOKUP(Comb_scrd[[#Headers],[Cisco FirePOWER 8350]],PAR_scrd[#All],162,FALSE)</f>
        <v>1</v>
      </c>
      <c r="D162" s="367">
        <f>HLOOKUP(Comb_scrd[[#Headers],[Fortinet FortiGate-1500D]],PAR_scrd[#All],162,FALSE)</f>
        <v>1</v>
      </c>
      <c r="E162" s="367">
        <f>HLOOKUP(Comb_scrd[[#Headers],[HP TippingPoint S7500NX]],PAR_scrd[#All],162,FALSE)</f>
        <v>1</v>
      </c>
      <c r="F162" s="367">
        <f>HLOOKUP(Comb_scrd[[#Headers],[IBM Security Network Protection XGS 5100]],PAR_scrd[#All],162,FALSE)</f>
        <v>1</v>
      </c>
      <c r="G162" s="367">
        <f>HLOOKUP(Comb_scrd[[#Headers],[IBM Security Network Protection XGS 7100]],PAR_scrd[#All],162,FALSE)</f>
        <v>1</v>
      </c>
      <c r="H162" s="367">
        <f>HLOOKUP(Comb_scrd[[#Headers],[Palo Alto Networks PA-5020]],PAR_scrd[#All],162,FALSE)</f>
        <v>1</v>
      </c>
    </row>
    <row r="163" spans="1:8" ht="38.25">
      <c r="A163" s="331" t="s">
        <v>650</v>
      </c>
      <c r="B163" s="331" t="s">
        <v>344</v>
      </c>
      <c r="C163" s="367">
        <f>HLOOKUP(Comb_scrd[[#Headers],[Cisco FirePOWER 8350]],PAR_scrd[#All],163,FALSE)</f>
        <v>1</v>
      </c>
      <c r="D163" s="367">
        <f>HLOOKUP(Comb_scrd[[#Headers],[Fortinet FortiGate-1500D]],PAR_scrd[#All],163,FALSE)</f>
        <v>1</v>
      </c>
      <c r="E163" s="367">
        <f>HLOOKUP(Comb_scrd[[#Headers],[HP TippingPoint S7500NX]],PAR_scrd[#All],163,FALSE)</f>
        <v>1</v>
      </c>
      <c r="F163" s="367">
        <f>HLOOKUP(Comb_scrd[[#Headers],[IBM Security Network Protection XGS 5100]],PAR_scrd[#All],163,FALSE)</f>
        <v>1</v>
      </c>
      <c r="G163" s="367">
        <f>HLOOKUP(Comb_scrd[[#Headers],[IBM Security Network Protection XGS 7100]],PAR_scrd[#All],163,FALSE)</f>
        <v>1</v>
      </c>
      <c r="H163" s="367">
        <f>HLOOKUP(Comb_scrd[[#Headers],[Palo Alto Networks PA-5020]],PAR_scrd[#All],163,FALSE)</f>
        <v>1</v>
      </c>
    </row>
    <row r="164" spans="1:8" ht="38.25">
      <c r="A164" s="331" t="s">
        <v>651</v>
      </c>
      <c r="B164" s="331" t="s">
        <v>345</v>
      </c>
      <c r="C164" s="367">
        <f>HLOOKUP(Comb_scrd[[#Headers],[Cisco FirePOWER 8350]],PAR_scrd[#All],164,FALSE)</f>
        <v>1</v>
      </c>
      <c r="D164" s="367">
        <f>HLOOKUP(Comb_scrd[[#Headers],[Fortinet FortiGate-1500D]],PAR_scrd[#All],164,FALSE)</f>
        <v>1</v>
      </c>
      <c r="E164" s="367">
        <f>HLOOKUP(Comb_scrd[[#Headers],[HP TippingPoint S7500NX]],PAR_scrd[#All],164,FALSE)</f>
        <v>1</v>
      </c>
      <c r="F164" s="367">
        <f>HLOOKUP(Comb_scrd[[#Headers],[IBM Security Network Protection XGS 5100]],PAR_scrd[#All],164,FALSE)</f>
        <v>1</v>
      </c>
      <c r="G164" s="367">
        <f>HLOOKUP(Comb_scrd[[#Headers],[IBM Security Network Protection XGS 7100]],PAR_scrd[#All],164,FALSE)</f>
        <v>1</v>
      </c>
      <c r="H164" s="367">
        <f>HLOOKUP(Comb_scrd[[#Headers],[Palo Alto Networks PA-5020]],PAR_scrd[#All],164,FALSE)</f>
        <v>1</v>
      </c>
    </row>
    <row r="165" spans="1:8" ht="38.25">
      <c r="A165" s="331" t="s">
        <v>652</v>
      </c>
      <c r="B165" s="331" t="s">
        <v>346</v>
      </c>
      <c r="C165" s="367">
        <f>HLOOKUP(Comb_scrd[[#Headers],[Cisco FirePOWER 8350]],PAR_scrd[#All],165,FALSE)</f>
        <v>1</v>
      </c>
      <c r="D165" s="367">
        <f>HLOOKUP(Comb_scrd[[#Headers],[Fortinet FortiGate-1500D]],PAR_scrd[#All],165,FALSE)</f>
        <v>1</v>
      </c>
      <c r="E165" s="367">
        <f>HLOOKUP(Comb_scrd[[#Headers],[HP TippingPoint S7500NX]],PAR_scrd[#All],165,FALSE)</f>
        <v>1</v>
      </c>
      <c r="F165" s="367">
        <f>HLOOKUP(Comb_scrd[[#Headers],[IBM Security Network Protection XGS 5100]],PAR_scrd[#All],165,FALSE)</f>
        <v>1</v>
      </c>
      <c r="G165" s="367">
        <f>HLOOKUP(Comb_scrd[[#Headers],[IBM Security Network Protection XGS 7100]],PAR_scrd[#All],165,FALSE)</f>
        <v>1</v>
      </c>
      <c r="H165" s="367">
        <f>HLOOKUP(Comb_scrd[[#Headers],[Palo Alto Networks PA-5020]],PAR_scrd[#All],165,FALSE)</f>
        <v>1</v>
      </c>
    </row>
    <row r="166" spans="1:8" ht="38.25">
      <c r="A166" s="331" t="s">
        <v>653</v>
      </c>
      <c r="B166" s="331" t="s">
        <v>347</v>
      </c>
      <c r="C166" s="367">
        <f>HLOOKUP(Comb_scrd[[#Headers],[Cisco FirePOWER 8350]],PAR_scrd[#All],166,FALSE)</f>
        <v>1</v>
      </c>
      <c r="D166" s="367">
        <f>HLOOKUP(Comb_scrd[[#Headers],[Fortinet FortiGate-1500D]],PAR_scrd[#All],166,FALSE)</f>
        <v>1</v>
      </c>
      <c r="E166" s="367">
        <f>HLOOKUP(Comb_scrd[[#Headers],[HP TippingPoint S7500NX]],PAR_scrd[#All],166,FALSE)</f>
        <v>1</v>
      </c>
      <c r="F166" s="367">
        <f>HLOOKUP(Comb_scrd[[#Headers],[IBM Security Network Protection XGS 5100]],PAR_scrd[#All],166,FALSE)</f>
        <v>1</v>
      </c>
      <c r="G166" s="367">
        <f>HLOOKUP(Comb_scrd[[#Headers],[IBM Security Network Protection XGS 7100]],PAR_scrd[#All],166,FALSE)</f>
        <v>1</v>
      </c>
      <c r="H166" s="367">
        <f>HLOOKUP(Comb_scrd[[#Headers],[Palo Alto Networks PA-5020]],PAR_scrd[#All],166,FALSE)</f>
        <v>1</v>
      </c>
    </row>
    <row r="167" spans="1:8" ht="38.25">
      <c r="A167" s="331" t="s">
        <v>654</v>
      </c>
      <c r="B167" s="331" t="s">
        <v>348</v>
      </c>
      <c r="C167" s="367">
        <f>HLOOKUP(Comb_scrd[[#Headers],[Cisco FirePOWER 8350]],PAR_scrd[#All],167,FALSE)</f>
        <v>1</v>
      </c>
      <c r="D167" s="367">
        <f>HLOOKUP(Comb_scrd[[#Headers],[Fortinet FortiGate-1500D]],PAR_scrd[#All],167,FALSE)</f>
        <v>1</v>
      </c>
      <c r="E167" s="367">
        <f>HLOOKUP(Comb_scrd[[#Headers],[HP TippingPoint S7500NX]],PAR_scrd[#All],167,FALSE)</f>
        <v>1</v>
      </c>
      <c r="F167" s="367">
        <f>HLOOKUP(Comb_scrd[[#Headers],[IBM Security Network Protection XGS 5100]],PAR_scrd[#All],167,FALSE)</f>
        <v>1</v>
      </c>
      <c r="G167" s="367">
        <f>HLOOKUP(Comb_scrd[[#Headers],[IBM Security Network Protection XGS 7100]],PAR_scrd[#All],167,FALSE)</f>
        <v>1</v>
      </c>
      <c r="H167" s="367">
        <f>HLOOKUP(Comb_scrd[[#Headers],[Palo Alto Networks PA-5020]],PAR_scrd[#All],167,FALSE)</f>
        <v>1</v>
      </c>
    </row>
    <row r="168" spans="1:8" ht="38.25">
      <c r="A168" s="331" t="s">
        <v>655</v>
      </c>
      <c r="B168" s="331" t="s">
        <v>349</v>
      </c>
      <c r="C168" s="367">
        <f>HLOOKUP(Comb_scrd[[#Headers],[Cisco FirePOWER 8350]],PAR_scrd[#All],168,FALSE)</f>
        <v>1</v>
      </c>
      <c r="D168" s="367">
        <f>HLOOKUP(Comb_scrd[[#Headers],[Fortinet FortiGate-1500D]],PAR_scrd[#All],168,FALSE)</f>
        <v>1</v>
      </c>
      <c r="E168" s="367">
        <f>HLOOKUP(Comb_scrd[[#Headers],[HP TippingPoint S7500NX]],PAR_scrd[#All],168,FALSE)</f>
        <v>1</v>
      </c>
      <c r="F168" s="367">
        <f>HLOOKUP(Comb_scrd[[#Headers],[IBM Security Network Protection XGS 5100]],PAR_scrd[#All],168,FALSE)</f>
        <v>1</v>
      </c>
      <c r="G168" s="367">
        <f>HLOOKUP(Comb_scrd[[#Headers],[IBM Security Network Protection XGS 7100]],PAR_scrd[#All],168,FALSE)</f>
        <v>1</v>
      </c>
      <c r="H168" s="367">
        <f>HLOOKUP(Comb_scrd[[#Headers],[Palo Alto Networks PA-5020]],PAR_scrd[#All],168,FALSE)</f>
        <v>1</v>
      </c>
    </row>
    <row r="169" spans="1:8" ht="38.25">
      <c r="A169" s="331" t="s">
        <v>656</v>
      </c>
      <c r="B169" s="331" t="s">
        <v>350</v>
      </c>
      <c r="C169" s="367">
        <f>HLOOKUP(Comb_scrd[[#Headers],[Cisco FirePOWER 8350]],PAR_scrd[#All],169,FALSE)</f>
        <v>1</v>
      </c>
      <c r="D169" s="367">
        <f>HLOOKUP(Comb_scrd[[#Headers],[Fortinet FortiGate-1500D]],PAR_scrd[#All],169,FALSE)</f>
        <v>1</v>
      </c>
      <c r="E169" s="367">
        <f>HLOOKUP(Comb_scrd[[#Headers],[HP TippingPoint S7500NX]],PAR_scrd[#All],169,FALSE)</f>
        <v>1</v>
      </c>
      <c r="F169" s="367">
        <f>HLOOKUP(Comb_scrd[[#Headers],[IBM Security Network Protection XGS 5100]],PAR_scrd[#All],169,FALSE)</f>
        <v>1</v>
      </c>
      <c r="G169" s="367">
        <f>HLOOKUP(Comb_scrd[[#Headers],[IBM Security Network Protection XGS 7100]],PAR_scrd[#All],169,FALSE)</f>
        <v>1</v>
      </c>
      <c r="H169" s="367">
        <f>HLOOKUP(Comb_scrd[[#Headers],[Palo Alto Networks PA-5020]],PAR_scrd[#All],169,FALSE)</f>
        <v>1</v>
      </c>
    </row>
    <row r="170" spans="1:8" ht="12.75">
      <c r="A170" s="336" t="s">
        <v>657</v>
      </c>
      <c r="B170" s="336" t="s">
        <v>195</v>
      </c>
      <c r="C170" s="371">
        <f>HLOOKUP(Comb_scrd[[#Headers],[Cisco FirePOWER 8350]],PAR_scrd[#All],170,FALSE)</f>
        <v>1</v>
      </c>
      <c r="D170" s="371">
        <f>HLOOKUP(Comb_scrd[[#Headers],[Fortinet FortiGate-1500D]],PAR_scrd[#All],170,FALSE)</f>
        <v>1</v>
      </c>
      <c r="E170" s="371">
        <f>HLOOKUP(Comb_scrd[[#Headers],[HP TippingPoint S7500NX]],PAR_scrd[#All],170,FALSE)</f>
        <v>1</v>
      </c>
      <c r="F170" s="371">
        <f>HLOOKUP(Comb_scrd[[#Headers],[IBM Security Network Protection XGS 5100]],PAR_scrd[#All],170,FALSE)</f>
        <v>1</v>
      </c>
      <c r="G170" s="371">
        <f>HLOOKUP(Comb_scrd[[#Headers],[IBM Security Network Protection XGS 7100]],PAR_scrd[#All],170,FALSE)</f>
        <v>1</v>
      </c>
      <c r="H170" s="371">
        <f>HLOOKUP(Comb_scrd[[#Headers],[Palo Alto Networks PA-5020]],PAR_scrd[#All],170,FALSE)</f>
        <v>1</v>
      </c>
    </row>
    <row r="171" spans="1:8" ht="38.25">
      <c r="A171" s="331" t="s">
        <v>658</v>
      </c>
      <c r="B171" s="331" t="s">
        <v>351</v>
      </c>
      <c r="C171" s="367">
        <f>HLOOKUP(Comb_scrd[[#Headers],[Cisco FirePOWER 8350]],PAR_scrd[#All],171,FALSE)</f>
        <v>1</v>
      </c>
      <c r="D171" s="367">
        <f>HLOOKUP(Comb_scrd[[#Headers],[Fortinet FortiGate-1500D]],PAR_scrd[#All],171,FALSE)</f>
        <v>1</v>
      </c>
      <c r="E171" s="367">
        <f>HLOOKUP(Comb_scrd[[#Headers],[HP TippingPoint S7500NX]],PAR_scrd[#All],171,FALSE)</f>
        <v>1</v>
      </c>
      <c r="F171" s="367">
        <f>HLOOKUP(Comb_scrd[[#Headers],[IBM Security Network Protection XGS 5100]],PAR_scrd[#All],171,FALSE)</f>
        <v>1</v>
      </c>
      <c r="G171" s="367">
        <f>HLOOKUP(Comb_scrd[[#Headers],[IBM Security Network Protection XGS 7100]],PAR_scrd[#All],171,FALSE)</f>
        <v>1</v>
      </c>
      <c r="H171" s="367">
        <f>HLOOKUP(Comb_scrd[[#Headers],[Palo Alto Networks PA-5020]],PAR_scrd[#All],171,FALSE)</f>
        <v>1</v>
      </c>
    </row>
    <row r="172" spans="1:8" ht="38.25">
      <c r="A172" s="331" t="s">
        <v>659</v>
      </c>
      <c r="B172" s="331" t="s">
        <v>352</v>
      </c>
      <c r="C172" s="367">
        <f>HLOOKUP(Comb_scrd[[#Headers],[Cisco FirePOWER 8350]],PAR_scrd[#All],172,FALSE)</f>
        <v>1</v>
      </c>
      <c r="D172" s="367">
        <f>HLOOKUP(Comb_scrd[[#Headers],[Fortinet FortiGate-1500D]],PAR_scrd[#All],172,FALSE)</f>
        <v>1</v>
      </c>
      <c r="E172" s="367">
        <f>HLOOKUP(Comb_scrd[[#Headers],[HP TippingPoint S7500NX]],PAR_scrd[#All],172,FALSE)</f>
        <v>1</v>
      </c>
      <c r="F172" s="367">
        <f>HLOOKUP(Comb_scrd[[#Headers],[IBM Security Network Protection XGS 5100]],PAR_scrd[#All],172,FALSE)</f>
        <v>1</v>
      </c>
      <c r="G172" s="367">
        <f>HLOOKUP(Comb_scrd[[#Headers],[IBM Security Network Protection XGS 7100]],PAR_scrd[#All],172,FALSE)</f>
        <v>1</v>
      </c>
      <c r="H172" s="367">
        <f>HLOOKUP(Comb_scrd[[#Headers],[Palo Alto Networks PA-5020]],PAR_scrd[#All],172,FALSE)</f>
        <v>1</v>
      </c>
    </row>
    <row r="173" spans="1:8" ht="38.25">
      <c r="A173" s="331" t="s">
        <v>660</v>
      </c>
      <c r="B173" s="331" t="s">
        <v>353</v>
      </c>
      <c r="C173" s="367">
        <f>HLOOKUP(Comb_scrd[[#Headers],[Cisco FirePOWER 8350]],PAR_scrd[#All],173,FALSE)</f>
        <v>1</v>
      </c>
      <c r="D173" s="367">
        <f>HLOOKUP(Comb_scrd[[#Headers],[Fortinet FortiGate-1500D]],PAR_scrd[#All],173,FALSE)</f>
        <v>1</v>
      </c>
      <c r="E173" s="367">
        <f>HLOOKUP(Comb_scrd[[#Headers],[HP TippingPoint S7500NX]],PAR_scrd[#All],173,FALSE)</f>
        <v>1</v>
      </c>
      <c r="F173" s="367">
        <f>HLOOKUP(Comb_scrd[[#Headers],[IBM Security Network Protection XGS 5100]],PAR_scrd[#All],173,FALSE)</f>
        <v>1</v>
      </c>
      <c r="G173" s="367">
        <f>HLOOKUP(Comb_scrd[[#Headers],[IBM Security Network Protection XGS 7100]],PAR_scrd[#All],173,FALSE)</f>
        <v>1</v>
      </c>
      <c r="H173" s="367">
        <f>HLOOKUP(Comb_scrd[[#Headers],[Palo Alto Networks PA-5020]],PAR_scrd[#All],173,FALSE)</f>
        <v>1</v>
      </c>
    </row>
    <row r="174" spans="1:8" ht="12.75">
      <c r="A174" s="336" t="s">
        <v>661</v>
      </c>
      <c r="B174" s="336" t="s">
        <v>196</v>
      </c>
      <c r="C174" s="371">
        <f>HLOOKUP(Comb_scrd[[#Headers],[Cisco FirePOWER 8350]],PAR_scrd[#All],174,FALSE)</f>
        <v>1</v>
      </c>
      <c r="D174" s="371">
        <f>HLOOKUP(Comb_scrd[[#Headers],[Fortinet FortiGate-1500D]],PAR_scrd[#All],174,FALSE)</f>
        <v>1</v>
      </c>
      <c r="E174" s="371">
        <f>HLOOKUP(Comb_scrd[[#Headers],[HP TippingPoint S7500NX]],PAR_scrd[#All],174,FALSE)</f>
        <v>1</v>
      </c>
      <c r="F174" s="371">
        <f>HLOOKUP(Comb_scrd[[#Headers],[IBM Security Network Protection XGS 5100]],PAR_scrd[#All],174,FALSE)</f>
        <v>1</v>
      </c>
      <c r="G174" s="371">
        <f>HLOOKUP(Comb_scrd[[#Headers],[IBM Security Network Protection XGS 7100]],PAR_scrd[#All],174,FALSE)</f>
        <v>1</v>
      </c>
      <c r="H174" s="371">
        <f>HLOOKUP(Comb_scrd[[#Headers],[Palo Alto Networks PA-5020]],PAR_scrd[#All],174,FALSE)</f>
        <v>1</v>
      </c>
    </row>
    <row r="175" spans="1:8" ht="25.5">
      <c r="A175" s="331" t="s">
        <v>662</v>
      </c>
      <c r="B175" s="331" t="s">
        <v>354</v>
      </c>
      <c r="C175" s="367">
        <f>HLOOKUP(Comb_scrd[[#Headers],[Cisco FirePOWER 8350]],PAR_scrd[#All],175,FALSE)</f>
        <v>1</v>
      </c>
      <c r="D175" s="367">
        <f>HLOOKUP(Comb_scrd[[#Headers],[Fortinet FortiGate-1500D]],PAR_scrd[#All],175,FALSE)</f>
        <v>1</v>
      </c>
      <c r="E175" s="367">
        <f>HLOOKUP(Comb_scrd[[#Headers],[HP TippingPoint S7500NX]],PAR_scrd[#All],175,FALSE)</f>
        <v>1</v>
      </c>
      <c r="F175" s="367">
        <f>HLOOKUP(Comb_scrd[[#Headers],[IBM Security Network Protection XGS 5100]],PAR_scrd[#All],175,FALSE)</f>
        <v>1</v>
      </c>
      <c r="G175" s="367">
        <f>HLOOKUP(Comb_scrd[[#Headers],[IBM Security Network Protection XGS 7100]],PAR_scrd[#All],175,FALSE)</f>
        <v>1</v>
      </c>
      <c r="H175" s="367">
        <f>HLOOKUP(Comb_scrd[[#Headers],[Palo Alto Networks PA-5020]],PAR_scrd[#All],175,FALSE)</f>
        <v>1</v>
      </c>
    </row>
    <row r="176" spans="1:8" ht="12.75">
      <c r="A176" s="336" t="s">
        <v>663</v>
      </c>
      <c r="B176" s="336" t="s">
        <v>133</v>
      </c>
      <c r="C176" s="371">
        <f>HLOOKUP(Comb_scrd[[#Headers],[Cisco FirePOWER 8350]],PAR_scrd[#All],176,FALSE)</f>
        <v>1</v>
      </c>
      <c r="D176" s="371">
        <f>HLOOKUP(Comb_scrd[[#Headers],[Fortinet FortiGate-1500D]],PAR_scrd[#All],176,FALSE)</f>
        <v>1</v>
      </c>
      <c r="E176" s="371">
        <f>HLOOKUP(Comb_scrd[[#Headers],[HP TippingPoint S7500NX]],PAR_scrd[#All],176,FALSE)</f>
        <v>1</v>
      </c>
      <c r="F176" s="371">
        <f>HLOOKUP(Comb_scrd[[#Headers],[IBM Security Network Protection XGS 5100]],PAR_scrd[#All],176,FALSE)</f>
        <v>1</v>
      </c>
      <c r="G176" s="371">
        <f>HLOOKUP(Comb_scrd[[#Headers],[IBM Security Network Protection XGS 7100]],PAR_scrd[#All],176,FALSE)</f>
        <v>1</v>
      </c>
      <c r="H176" s="371">
        <f>HLOOKUP(Comb_scrd[[#Headers],[Palo Alto Networks PA-5020]],PAR_scrd[#All],176,FALSE)</f>
        <v>1</v>
      </c>
    </row>
    <row r="177" spans="1:8" ht="12.75">
      <c r="A177" s="333">
        <v>4</v>
      </c>
      <c r="B177" s="333" t="s">
        <v>9</v>
      </c>
      <c r="C177" s="320"/>
      <c r="D177" s="320"/>
      <c r="E177" s="320"/>
      <c r="F177" s="320"/>
      <c r="G177" s="320"/>
      <c r="H177" s="320"/>
    </row>
    <row r="178" spans="1:8" ht="12.75">
      <c r="A178" s="336" t="s">
        <v>408</v>
      </c>
      <c r="B178" s="327" t="s">
        <v>409</v>
      </c>
      <c r="C178" s="328">
        <f>HLOOKUP(Comb_scrd[[#Headers],[Cisco FirePOWER 8350]],PAR_scrd[#All],178,FALSE)</f>
        <v>15000</v>
      </c>
      <c r="D178" s="328">
        <f>HLOOKUP(Comb_scrd[[#Headers],[Fortinet FortiGate-1500D]],PAR_scrd[#All],178,FALSE)</f>
        <v>11000</v>
      </c>
      <c r="E178" s="328">
        <f>HLOOKUP(Comb_scrd[[#Headers],[HP TippingPoint S7500NX]],PAR_scrd[#All],178,FALSE)</f>
        <v>20000</v>
      </c>
      <c r="F178" s="328">
        <f>HLOOKUP(Comb_scrd[[#Headers],[IBM Security Network Protection XGS 5100]],PAR_scrd[#All],178,FALSE)</f>
        <v>7000</v>
      </c>
      <c r="G178" s="328">
        <f>HLOOKUP(Comb_scrd[[#Headers],[IBM Security Network Protection XGS 7100]],PAR_scrd[#All],178,FALSE)</f>
        <v>20000</v>
      </c>
      <c r="H178" s="328">
        <f>HLOOKUP(Comb_scrd[[#Headers],[Palo Alto Networks PA-5020]],PAR_scrd[#All],178,FALSE)</f>
        <v>2000</v>
      </c>
    </row>
    <row r="179" spans="1:8" ht="12.75">
      <c r="A179" s="336">
        <v>4.0999999999999996</v>
      </c>
      <c r="B179" s="327" t="s">
        <v>355</v>
      </c>
      <c r="C179" s="328" t="str">
        <f>HLOOKUP(Comb_scrd[[#Headers],[Cisco FirePOWER 8350]],PAR_scrd[#All],179,FALSE)</f>
        <v>Mbps</v>
      </c>
      <c r="D179" s="328" t="str">
        <f>HLOOKUP(Comb_scrd[[#Headers],[Fortinet FortiGate-1500D]],PAR_scrd[#All],179,FALSE)</f>
        <v>Mbps</v>
      </c>
      <c r="E179" s="328" t="str">
        <f>HLOOKUP(Comb_scrd[[#Headers],[HP TippingPoint S7500NX]],PAR_scrd[#All],179,FALSE)</f>
        <v>Mbps</v>
      </c>
      <c r="F179" s="328" t="str">
        <f>HLOOKUP(Comb_scrd[[#Headers],[IBM Security Network Protection XGS 5100]],PAR_scrd[#All],179,FALSE)</f>
        <v>Mbps</v>
      </c>
      <c r="G179" s="328" t="str">
        <f>HLOOKUP(Comb_scrd[[#Headers],[IBM Security Network Protection XGS 7100]],PAR_scrd[#All],179,FALSE)</f>
        <v>Mbps</v>
      </c>
      <c r="H179" s="328" t="str">
        <f>HLOOKUP(Comb_scrd[[#Headers],[Palo Alto Networks PA-5020]],PAR_scrd[#All],179,FALSE)</f>
        <v>Mbps</v>
      </c>
    </row>
    <row r="180" spans="1:8" ht="12.75">
      <c r="A180" s="332" t="s">
        <v>10</v>
      </c>
      <c r="B180" s="332" t="s">
        <v>137</v>
      </c>
      <c r="C180" s="355">
        <f>HLOOKUP(Comb_scrd[[#Headers],[Cisco FirePOWER 8350]],PAR_scrd[#All],180,FALSE)</f>
        <v>2964</v>
      </c>
      <c r="D180" s="355">
        <f>HLOOKUP(Comb_scrd[[#Headers],[Fortinet FortiGate-1500D]],PAR_scrd[#All],180,FALSE)</f>
        <v>38400</v>
      </c>
      <c r="E180" s="355">
        <f>HLOOKUP(Comb_scrd[[#Headers],[HP TippingPoint S7500NX]],PAR_scrd[#All],180,FALSE)</f>
        <v>7737</v>
      </c>
      <c r="F180" s="355">
        <f>HLOOKUP(Comb_scrd[[#Headers],[IBM Security Network Protection XGS 5100]],PAR_scrd[#All],180,FALSE)</f>
        <v>1866.7</v>
      </c>
      <c r="G180" s="355">
        <f>HLOOKUP(Comb_scrd[[#Headers],[IBM Security Network Protection XGS 7100]],PAR_scrd[#All],180,FALSE)</f>
        <v>1937.1</v>
      </c>
      <c r="H180" s="355">
        <f>HLOOKUP(Comb_scrd[[#Headers],[Palo Alto Networks PA-5020]],PAR_scrd[#All],180,FALSE)</f>
        <v>5040</v>
      </c>
    </row>
    <row r="181" spans="1:8" ht="12.75">
      <c r="A181" s="332" t="s">
        <v>12</v>
      </c>
      <c r="B181" s="329" t="s">
        <v>37</v>
      </c>
      <c r="C181" s="355">
        <f>HLOOKUP(Comb_scrd[[#Headers],[Cisco FirePOWER 8350]],PAR_scrd[#All],181,FALSE)</f>
        <v>4752</v>
      </c>
      <c r="D181" s="355">
        <f>HLOOKUP(Comb_scrd[[#Headers],[Fortinet FortiGate-1500D]],PAR_scrd[#All],181,FALSE)</f>
        <v>39200</v>
      </c>
      <c r="E181" s="355">
        <f>HLOOKUP(Comb_scrd[[#Headers],[HP TippingPoint S7500NX]],PAR_scrd[#All],181,FALSE)</f>
        <v>10110</v>
      </c>
      <c r="F181" s="355">
        <f>HLOOKUP(Comb_scrd[[#Headers],[IBM Security Network Protection XGS 5100]],PAR_scrd[#All],181,FALSE)</f>
        <v>3247.7</v>
      </c>
      <c r="G181" s="355">
        <f>HLOOKUP(Comb_scrd[[#Headers],[IBM Security Network Protection XGS 7100]],PAR_scrd[#All],181,FALSE)</f>
        <v>3512.1000000000004</v>
      </c>
      <c r="H181" s="355">
        <f>HLOOKUP(Comb_scrd[[#Headers],[Palo Alto Networks PA-5020]],PAR_scrd[#All],181,FALSE)</f>
        <v>9138</v>
      </c>
    </row>
    <row r="182" spans="1:8" ht="12.75">
      <c r="A182" s="332" t="s">
        <v>14</v>
      </c>
      <c r="B182" s="329" t="s">
        <v>39</v>
      </c>
      <c r="C182" s="355">
        <f>HLOOKUP(Comb_scrd[[#Headers],[Cisco FirePOWER 8350]],PAR_scrd[#All],182,FALSE)</f>
        <v>8109</v>
      </c>
      <c r="D182" s="355">
        <f>HLOOKUP(Comb_scrd[[#Headers],[Fortinet FortiGate-1500D]],PAR_scrd[#All],182,FALSE)</f>
        <v>39760</v>
      </c>
      <c r="E182" s="355">
        <f>HLOOKUP(Comb_scrd[[#Headers],[HP TippingPoint S7500NX]],PAR_scrd[#All],182,FALSE)</f>
        <v>11875</v>
      </c>
      <c r="F182" s="355">
        <f>HLOOKUP(Comb_scrd[[#Headers],[IBM Security Network Protection XGS 5100]],PAR_scrd[#All],182,FALSE)</f>
        <v>6233</v>
      </c>
      <c r="G182" s="355">
        <f>HLOOKUP(Comb_scrd[[#Headers],[IBM Security Network Protection XGS 7100]],PAR_scrd[#All],182,FALSE)</f>
        <v>6679.7000000000007</v>
      </c>
      <c r="H182" s="355">
        <f>HLOOKUP(Comb_scrd[[#Headers],[Palo Alto Networks PA-5020]],PAR_scrd[#All],182,FALSE)</f>
        <v>9601</v>
      </c>
    </row>
    <row r="183" spans="1:8" ht="12.75">
      <c r="A183" s="332" t="s">
        <v>16</v>
      </c>
      <c r="B183" s="329" t="s">
        <v>40</v>
      </c>
      <c r="C183" s="355">
        <f>HLOOKUP(Comb_scrd[[#Headers],[Cisco FirePOWER 8350]],PAR_scrd[#All],183,FALSE)</f>
        <v>13780</v>
      </c>
      <c r="D183" s="355">
        <f>HLOOKUP(Comb_scrd[[#Headers],[Fortinet FortiGate-1500D]],PAR_scrd[#All],183,FALSE)</f>
        <v>40000</v>
      </c>
      <c r="E183" s="355">
        <f>HLOOKUP(Comb_scrd[[#Headers],[HP TippingPoint S7500NX]],PAR_scrd[#All],183,FALSE)</f>
        <v>13261</v>
      </c>
      <c r="F183" s="355">
        <f>HLOOKUP(Comb_scrd[[#Headers],[IBM Security Network Protection XGS 5100]],PAR_scrd[#All],183,FALSE)</f>
        <v>12169</v>
      </c>
      <c r="G183" s="355">
        <f>HLOOKUP(Comb_scrd[[#Headers],[IBM Security Network Protection XGS 7100]],PAR_scrd[#All],183,FALSE)</f>
        <v>13053</v>
      </c>
      <c r="H183" s="355">
        <f>HLOOKUP(Comb_scrd[[#Headers],[Palo Alto Networks PA-5020]],PAR_scrd[#All],183,FALSE)</f>
        <v>9816</v>
      </c>
    </row>
    <row r="184" spans="1:8" ht="12.75">
      <c r="A184" s="332" t="s">
        <v>18</v>
      </c>
      <c r="B184" s="329" t="s">
        <v>41</v>
      </c>
      <c r="C184" s="355">
        <f>HLOOKUP(Comb_scrd[[#Headers],[Cisco FirePOWER 8350]],PAR_scrd[#All],184,FALSE)</f>
        <v>19610</v>
      </c>
      <c r="D184" s="355">
        <f>HLOOKUP(Comb_scrd[[#Headers],[Fortinet FortiGate-1500D]],PAR_scrd[#All],184,FALSE)</f>
        <v>40000</v>
      </c>
      <c r="E184" s="355">
        <f>HLOOKUP(Comb_scrd[[#Headers],[HP TippingPoint S7500NX]],PAR_scrd[#All],184,FALSE)</f>
        <v>14139</v>
      </c>
      <c r="F184" s="355">
        <f>HLOOKUP(Comb_scrd[[#Headers],[IBM Security Network Protection XGS 5100]],PAR_scrd[#All],184,FALSE)</f>
        <v>21722</v>
      </c>
      <c r="G184" s="355">
        <f>HLOOKUP(Comb_scrd[[#Headers],[IBM Security Network Protection XGS 7100]],PAR_scrd[#All],184,FALSE)</f>
        <v>25667</v>
      </c>
      <c r="H184" s="355">
        <f>HLOOKUP(Comb_scrd[[#Headers],[Palo Alto Networks PA-5020]],PAR_scrd[#All],184,FALSE)</f>
        <v>9844</v>
      </c>
    </row>
    <row r="185" spans="1:8" ht="12.75">
      <c r="A185" s="332" t="s">
        <v>138</v>
      </c>
      <c r="B185" s="329" t="s">
        <v>42</v>
      </c>
      <c r="C185" s="355">
        <f>HLOOKUP(Comb_scrd[[#Headers],[Cisco FirePOWER 8350]],PAR_scrd[#All],185,FALSE)</f>
        <v>19370</v>
      </c>
      <c r="D185" s="355">
        <f>HLOOKUP(Comb_scrd[[#Headers],[Fortinet FortiGate-1500D]],PAR_scrd[#All],185,FALSE)</f>
        <v>40000</v>
      </c>
      <c r="E185" s="355">
        <f>HLOOKUP(Comb_scrd[[#Headers],[HP TippingPoint S7500NX]],PAR_scrd[#All],185,FALSE)</f>
        <v>14439</v>
      </c>
      <c r="F185" s="355">
        <f>HLOOKUP(Comb_scrd[[#Headers],[IBM Security Network Protection XGS 5100]],PAR_scrd[#All],185,FALSE)</f>
        <v>21698</v>
      </c>
      <c r="G185" s="355">
        <f>HLOOKUP(Comb_scrd[[#Headers],[IBM Security Network Protection XGS 7100]],PAR_scrd[#All],185,FALSE)</f>
        <v>33152</v>
      </c>
      <c r="H185" s="355">
        <f>HLOOKUP(Comb_scrd[[#Headers],[Palo Alto Networks PA-5020]],PAR_scrd[#All],185,FALSE)</f>
        <v>9844</v>
      </c>
    </row>
    <row r="186" spans="1:8" ht="12.75">
      <c r="A186" s="336">
        <v>4.2</v>
      </c>
      <c r="B186" s="336" t="s">
        <v>43</v>
      </c>
      <c r="C186" s="328" t="str">
        <f>HLOOKUP(Comb_scrd[[#Headers],[Cisco FirePOWER 8350]],PAR_scrd[#All],186,FALSE)</f>
        <v>Microseconds</v>
      </c>
      <c r="D186" s="328" t="str">
        <f>HLOOKUP(Comb_scrd[[#Headers],[Fortinet FortiGate-1500D]],PAR_scrd[#All],186,FALSE)</f>
        <v>Microseconds</v>
      </c>
      <c r="E186" s="328" t="str">
        <f>HLOOKUP(Comb_scrd[[#Headers],[HP TippingPoint S7500NX]],PAR_scrd[#All],186,FALSE)</f>
        <v>Microseconds</v>
      </c>
      <c r="F186" s="328" t="str">
        <f>HLOOKUP(Comb_scrd[[#Headers],[IBM Security Network Protection XGS 5100]],PAR_scrd[#All],186,FALSE)</f>
        <v>Microseconds</v>
      </c>
      <c r="G186" s="328" t="str">
        <f>HLOOKUP(Comb_scrd[[#Headers],[IBM Security Network Protection XGS 7100]],PAR_scrd[#All],186,FALSE)</f>
        <v>Microseconds</v>
      </c>
      <c r="H186" s="328" t="str">
        <f>HLOOKUP(Comb_scrd[[#Headers],[Palo Alto Networks PA-5020]],PAR_scrd[#All],186,FALSE)</f>
        <v>Microseconds</v>
      </c>
    </row>
    <row r="187" spans="1:8" ht="12.75">
      <c r="A187" s="332" t="s">
        <v>20</v>
      </c>
      <c r="B187" s="332" t="s">
        <v>137</v>
      </c>
      <c r="C187" s="374">
        <f>HLOOKUP(Comb_scrd[[#Headers],[Cisco FirePOWER 8350]],PAR_scrd[#All],187,FALSE)</f>
        <v>108.00949999999999</v>
      </c>
      <c r="D187" s="374">
        <f>HLOOKUP(Comb_scrd[[#Headers],[Fortinet FortiGate-1500D]],PAR_scrd[#All],187,FALSE)</f>
        <v>3.8807500000000004</v>
      </c>
      <c r="E187" s="374">
        <f>HLOOKUP(Comb_scrd[[#Headers],[HP TippingPoint S7500NX]],PAR_scrd[#All],187,FALSE)</f>
        <v>5.9879999999999995</v>
      </c>
      <c r="F187" s="374">
        <f>HLOOKUP(Comb_scrd[[#Headers],[IBM Security Network Protection XGS 5100]],PAR_scrd[#All],187,FALSE)</f>
        <v>7.4867500000000007</v>
      </c>
      <c r="G187" s="374">
        <f>HLOOKUP(Comb_scrd[[#Headers],[IBM Security Network Protection XGS 7100]],PAR_scrd[#All],187,FALSE)</f>
        <v>6.3895</v>
      </c>
      <c r="H187" s="374">
        <f>HLOOKUP(Comb_scrd[[#Headers],[Palo Alto Networks PA-5020]],PAR_scrd[#All],187,FALSE)</f>
        <v>14.576666666666668</v>
      </c>
    </row>
    <row r="188" spans="1:8" ht="12.75">
      <c r="A188" s="332" t="s">
        <v>22</v>
      </c>
      <c r="B188" s="341" t="s">
        <v>37</v>
      </c>
      <c r="C188" s="374">
        <f>HLOOKUP(Comb_scrd[[#Headers],[Cisco FirePOWER 8350]],PAR_scrd[#All],188,FALSE)</f>
        <v>103.88124999999999</v>
      </c>
      <c r="D188" s="374">
        <f>HLOOKUP(Comb_scrd[[#Headers],[Fortinet FortiGate-1500D]],PAR_scrd[#All],188,FALSE)</f>
        <v>4.0265000000000004</v>
      </c>
      <c r="E188" s="374">
        <f>HLOOKUP(Comb_scrd[[#Headers],[HP TippingPoint S7500NX]],PAR_scrd[#All],188,FALSE)</f>
        <v>5.976375</v>
      </c>
      <c r="F188" s="374">
        <f>HLOOKUP(Comb_scrd[[#Headers],[IBM Security Network Protection XGS 5100]],PAR_scrd[#All],188,FALSE)</f>
        <v>8.206999999999999</v>
      </c>
      <c r="G188" s="374">
        <f>HLOOKUP(Comb_scrd[[#Headers],[IBM Security Network Protection XGS 7100]],PAR_scrd[#All],188,FALSE)</f>
        <v>7.4452499999999988</v>
      </c>
      <c r="H188" s="374">
        <f>HLOOKUP(Comb_scrd[[#Headers],[Palo Alto Networks PA-5020]],PAR_scrd[#All],188,FALSE)</f>
        <v>15.631750000000002</v>
      </c>
    </row>
    <row r="189" spans="1:8" ht="12.75">
      <c r="A189" s="332" t="s">
        <v>24</v>
      </c>
      <c r="B189" s="341" t="s">
        <v>39</v>
      </c>
      <c r="C189" s="374">
        <f>HLOOKUP(Comb_scrd[[#Headers],[Cisco FirePOWER 8350]],PAR_scrd[#All],189,FALSE)</f>
        <v>104.295</v>
      </c>
      <c r="D189" s="374">
        <f>HLOOKUP(Comb_scrd[[#Headers],[Fortinet FortiGate-1500D]],PAR_scrd[#All],189,FALSE)</f>
        <v>4.4377500000000003</v>
      </c>
      <c r="E189" s="374">
        <f>HLOOKUP(Comb_scrd[[#Headers],[HP TippingPoint S7500NX]],PAR_scrd[#All],189,FALSE)</f>
        <v>6.2072500000000002</v>
      </c>
      <c r="F189" s="374">
        <f>HLOOKUP(Comb_scrd[[#Headers],[IBM Security Network Protection XGS 5100]],PAR_scrd[#All],189,FALSE)</f>
        <v>8.8109999999999999</v>
      </c>
      <c r="G189" s="374">
        <f>HLOOKUP(Comb_scrd[[#Headers],[IBM Security Network Protection XGS 7100]],PAR_scrd[#All],189,FALSE)</f>
        <v>7.8101249999999993</v>
      </c>
      <c r="H189" s="374">
        <f>HLOOKUP(Comb_scrd[[#Headers],[Palo Alto Networks PA-5020]],PAR_scrd[#All],189,FALSE)</f>
        <v>17.389083333333335</v>
      </c>
    </row>
    <row r="190" spans="1:8" ht="12.75">
      <c r="A190" s="332" t="s">
        <v>26</v>
      </c>
      <c r="B190" s="332" t="s">
        <v>40</v>
      </c>
      <c r="C190" s="374">
        <f>HLOOKUP(Comb_scrd[[#Headers],[Cisco FirePOWER 8350]],PAR_scrd[#All],190,FALSE)</f>
        <v>107.77350000000001</v>
      </c>
      <c r="D190" s="374">
        <f>HLOOKUP(Comb_scrd[[#Headers],[Fortinet FortiGate-1500D]],PAR_scrd[#All],190,FALSE)</f>
        <v>5.0992499999999996</v>
      </c>
      <c r="E190" s="374">
        <f>HLOOKUP(Comb_scrd[[#Headers],[HP TippingPoint S7500NX]],PAR_scrd[#All],190,FALSE)</f>
        <v>7.2056250000000004</v>
      </c>
      <c r="F190" s="374">
        <f>HLOOKUP(Comb_scrd[[#Headers],[IBM Security Network Protection XGS 5100]],PAR_scrd[#All],190,FALSE)</f>
        <v>9.6892500000000013</v>
      </c>
      <c r="G190" s="374">
        <f>HLOOKUP(Comb_scrd[[#Headers],[IBM Security Network Protection XGS 7100]],PAR_scrd[#All],190,FALSE)</f>
        <v>7.5092499999999998</v>
      </c>
      <c r="H190" s="374">
        <f>HLOOKUP(Comb_scrd[[#Headers],[Palo Alto Networks PA-5020]],PAR_scrd[#All],190,FALSE)</f>
        <v>20.683</v>
      </c>
    </row>
    <row r="191" spans="1:8" ht="12.75">
      <c r="A191" s="332" t="s">
        <v>28</v>
      </c>
      <c r="B191" s="332" t="s">
        <v>41</v>
      </c>
      <c r="C191" s="374">
        <f>HLOOKUP(Comb_scrd[[#Headers],[Cisco FirePOWER 8350]],PAR_scrd[#All],191,FALSE)</f>
        <v>113.77754999999999</v>
      </c>
      <c r="D191" s="374">
        <f>HLOOKUP(Comb_scrd[[#Headers],[Fortinet FortiGate-1500D]],PAR_scrd[#All],191,FALSE)</f>
        <v>6.4452500000000006</v>
      </c>
      <c r="E191" s="374">
        <f>HLOOKUP(Comb_scrd[[#Headers],[HP TippingPoint S7500NX]],PAR_scrd[#All],191,FALSE)</f>
        <v>9.2341250000000006</v>
      </c>
      <c r="F191" s="374">
        <f>HLOOKUP(Comb_scrd[[#Headers],[IBM Security Network Protection XGS 5100]],PAR_scrd[#All],191,FALSE)</f>
        <v>10.632</v>
      </c>
      <c r="G191" s="374">
        <f>HLOOKUP(Comb_scrd[[#Headers],[IBM Security Network Protection XGS 7100]],PAR_scrd[#All],191,FALSE)</f>
        <v>8.6751250000000013</v>
      </c>
      <c r="H191" s="374">
        <f>HLOOKUP(Comb_scrd[[#Headers],[Palo Alto Networks PA-5020]],PAR_scrd[#All],191,FALSE)</f>
        <v>26.791333333333338</v>
      </c>
    </row>
    <row r="192" spans="1:8" ht="12.75">
      <c r="A192" s="332" t="s">
        <v>139</v>
      </c>
      <c r="B192" s="332" t="s">
        <v>42</v>
      </c>
      <c r="C192" s="374">
        <f>HLOOKUP(Comb_scrd[[#Headers],[Cisco FirePOWER 8350]],PAR_scrd[#All],192,FALSE)</f>
        <v>113.4165</v>
      </c>
      <c r="D192" s="374">
        <f>HLOOKUP(Comb_scrd[[#Headers],[Fortinet FortiGate-1500D]],PAR_scrd[#All],192,FALSE)</f>
        <v>7.6897500000000001</v>
      </c>
      <c r="E192" s="374">
        <f>HLOOKUP(Comb_scrd[[#Headers],[HP TippingPoint S7500NX]],PAR_scrd[#All],192,FALSE)</f>
        <v>11.660499999999999</v>
      </c>
      <c r="F192" s="374">
        <f>HLOOKUP(Comb_scrd[[#Headers],[IBM Security Network Protection XGS 5100]],PAR_scrd[#All],192,FALSE)</f>
        <v>10.558249999999999</v>
      </c>
      <c r="G192" s="374">
        <f>HLOOKUP(Comb_scrd[[#Headers],[IBM Security Network Protection XGS 7100]],PAR_scrd[#All],192,FALSE)</f>
        <v>10.237875000000001</v>
      </c>
      <c r="H192" s="374">
        <f>HLOOKUP(Comb_scrd[[#Headers],[Palo Alto Networks PA-5020]],PAR_scrd[#All],192,FALSE)</f>
        <v>32.582749999999997</v>
      </c>
    </row>
    <row r="193" spans="1:8" ht="12.75">
      <c r="A193" s="327">
        <v>4.3</v>
      </c>
      <c r="B193" s="327" t="s">
        <v>356</v>
      </c>
      <c r="C193" s="328"/>
      <c r="D193" s="328"/>
      <c r="E193" s="328"/>
      <c r="F193" s="328"/>
      <c r="G193" s="328"/>
      <c r="H193" s="328"/>
    </row>
    <row r="194" spans="1:8" ht="12.75">
      <c r="A194" s="331" t="s">
        <v>30</v>
      </c>
      <c r="B194" s="331" t="s">
        <v>11</v>
      </c>
      <c r="C194" s="355">
        <f>HLOOKUP(Comb_scrd[[#Headers],[Cisco FirePOWER 8350]],PAR_scrd[#All],194,FALSE)</f>
        <v>19244910</v>
      </c>
      <c r="D194" s="355">
        <f>HLOOKUP(Comb_scrd[[#Headers],[Fortinet FortiGate-1500D]],PAR_scrd[#All],194,FALSE)</f>
        <v>2349819</v>
      </c>
      <c r="E194" s="355">
        <f>HLOOKUP(Comb_scrd[[#Headers],[HP TippingPoint S7500NX]],PAR_scrd[#All],194,FALSE)</f>
        <v>60000000</v>
      </c>
      <c r="F194" s="355">
        <f>HLOOKUP(Comb_scrd[[#Headers],[IBM Security Network Protection XGS 5100]],PAR_scrd[#All],194,FALSE)</f>
        <v>3284804</v>
      </c>
      <c r="G194" s="355">
        <f>HLOOKUP(Comb_scrd[[#Headers],[IBM Security Network Protection XGS 7100]],PAR_scrd[#All],194,FALSE)</f>
        <v>20000000</v>
      </c>
      <c r="H194" s="355">
        <f>HLOOKUP(Comb_scrd[[#Headers],[Palo Alto Networks PA-5020]],PAR_scrd[#All],194,FALSE)</f>
        <v>828753</v>
      </c>
    </row>
    <row r="195" spans="1:8" ht="12.75">
      <c r="A195" s="331" t="s">
        <v>31</v>
      </c>
      <c r="B195" s="329" t="s">
        <v>13</v>
      </c>
      <c r="C195" s="355">
        <f>HLOOKUP(Comb_scrd[[#Headers],[Cisco FirePOWER 8350]],PAR_scrd[#All],195,FALSE)</f>
        <v>18098077</v>
      </c>
      <c r="D195" s="355">
        <f>HLOOKUP(Comb_scrd[[#Headers],[Fortinet FortiGate-1500D]],PAR_scrd[#All],195,FALSE)</f>
        <v>5457340</v>
      </c>
      <c r="E195" s="355">
        <f>HLOOKUP(Comb_scrd[[#Headers],[HP TippingPoint S7500NX]],PAR_scrd[#All],195,FALSE)</f>
        <v>60000000</v>
      </c>
      <c r="F195" s="355">
        <f>HLOOKUP(Comb_scrd[[#Headers],[IBM Security Network Protection XGS 5100]],PAR_scrd[#All],195,FALSE)</f>
        <v>3284783</v>
      </c>
      <c r="G195" s="355">
        <f>HLOOKUP(Comb_scrd[[#Headers],[IBM Security Network Protection XGS 7100]],PAR_scrd[#All],195,FALSE)</f>
        <v>20000000</v>
      </c>
      <c r="H195" s="355">
        <f>HLOOKUP(Comb_scrd[[#Headers],[Palo Alto Networks PA-5020]],PAR_scrd[#All],195,FALSE)</f>
        <v>750611</v>
      </c>
    </row>
    <row r="196" spans="1:8" ht="12.75">
      <c r="A196" s="331" t="s">
        <v>32</v>
      </c>
      <c r="B196" s="329" t="s">
        <v>15</v>
      </c>
      <c r="C196" s="355">
        <f>HLOOKUP(Comb_scrd[[#Headers],[Cisco FirePOWER 8350]],PAR_scrd[#All],196,FALSE)</f>
        <v>516000</v>
      </c>
      <c r="D196" s="355">
        <f>HLOOKUP(Comb_scrd[[#Headers],[Fortinet FortiGate-1500D]],PAR_scrd[#All],196,FALSE)</f>
        <v>95000</v>
      </c>
      <c r="E196" s="355">
        <f>HLOOKUP(Comb_scrd[[#Headers],[HP TippingPoint S7500NX]],PAR_scrd[#All],196,FALSE)</f>
        <v>249760</v>
      </c>
      <c r="F196" s="355">
        <f>HLOOKUP(Comb_scrd[[#Headers],[IBM Security Network Protection XGS 5100]],PAR_scrd[#All],196,FALSE)</f>
        <v>354000</v>
      </c>
      <c r="G196" s="355">
        <f>HLOOKUP(Comb_scrd[[#Headers],[IBM Security Network Protection XGS 7100]],PAR_scrd[#All],196,FALSE)</f>
        <v>583900</v>
      </c>
      <c r="H196" s="355">
        <f>HLOOKUP(Comb_scrd[[#Headers],[Palo Alto Networks PA-5020]],PAR_scrd[#All],196,FALSE)</f>
        <v>12005</v>
      </c>
    </row>
    <row r="197" spans="1:8" ht="12.75">
      <c r="A197" s="331" t="s">
        <v>682</v>
      </c>
      <c r="B197" s="329" t="s">
        <v>17</v>
      </c>
      <c r="C197" s="355">
        <f>HLOOKUP(Comb_scrd[[#Headers],[Cisco FirePOWER 8350]],PAR_scrd[#All],197,FALSE)</f>
        <v>400300</v>
      </c>
      <c r="D197" s="355">
        <f>HLOOKUP(Comb_scrd[[#Headers],[Fortinet FortiGate-1500D]],PAR_scrd[#All],197,FALSE)</f>
        <v>69940</v>
      </c>
      <c r="E197" s="355">
        <f>HLOOKUP(Comb_scrd[[#Headers],[HP TippingPoint S7500NX]],PAR_scrd[#All],197,FALSE)</f>
        <v>183500</v>
      </c>
      <c r="F197" s="355">
        <f>HLOOKUP(Comb_scrd[[#Headers],[IBM Security Network Protection XGS 5100]],PAR_scrd[#All],197,FALSE)</f>
        <v>63030</v>
      </c>
      <c r="G197" s="355">
        <f>HLOOKUP(Comb_scrd[[#Headers],[IBM Security Network Protection XGS 7100]],PAR_scrd[#All],197,FALSE)</f>
        <v>174960</v>
      </c>
      <c r="H197" s="355">
        <f>HLOOKUP(Comb_scrd[[#Headers],[Palo Alto Networks PA-5020]],PAR_scrd[#All],197,FALSE)</f>
        <v>16200</v>
      </c>
    </row>
    <row r="198" spans="1:8" ht="12.75">
      <c r="A198" s="331" t="s">
        <v>683</v>
      </c>
      <c r="B198" s="329" t="s">
        <v>19</v>
      </c>
      <c r="C198" s="355">
        <f>HLOOKUP(Comb_scrd[[#Headers],[Cisco FirePOWER 8350]],PAR_scrd[#All],198,FALSE)</f>
        <v>1081200</v>
      </c>
      <c r="D198" s="355">
        <f>HLOOKUP(Comb_scrd[[#Headers],[Fortinet FortiGate-1500D]],PAR_scrd[#All],198,FALSE)</f>
        <v>180150</v>
      </c>
      <c r="E198" s="355">
        <f>HLOOKUP(Comb_scrd[[#Headers],[HP TippingPoint S7500NX]],PAR_scrd[#All],198,FALSE)</f>
        <v>350010</v>
      </c>
      <c r="F198" s="355">
        <f>HLOOKUP(Comb_scrd[[#Headers],[IBM Security Network Protection XGS 5100]],PAR_scrd[#All],198,FALSE)</f>
        <v>79590</v>
      </c>
      <c r="G198" s="355">
        <f>HLOOKUP(Comb_scrd[[#Headers],[IBM Security Network Protection XGS 7100]],PAR_scrd[#All],198,FALSE)</f>
        <v>207660</v>
      </c>
      <c r="H198" s="355">
        <f>HLOOKUP(Comb_scrd[[#Headers],[Palo Alto Networks PA-5020]],PAR_scrd[#All],198,FALSE)</f>
        <v>27229</v>
      </c>
    </row>
    <row r="199" spans="1:8" ht="12.75">
      <c r="A199" s="327">
        <v>4.4000000000000004</v>
      </c>
      <c r="B199" s="327" t="s">
        <v>357</v>
      </c>
      <c r="C199" s="328"/>
      <c r="D199" s="328"/>
      <c r="E199" s="328"/>
      <c r="F199" s="328"/>
      <c r="G199" s="328"/>
      <c r="H199" s="328"/>
    </row>
    <row r="200" spans="1:8" ht="12.75">
      <c r="A200" s="331" t="s">
        <v>33</v>
      </c>
      <c r="B200" s="331" t="s">
        <v>410</v>
      </c>
      <c r="C200" s="355">
        <f>HLOOKUP(Comb_scrd[[#Headers],[Cisco FirePOWER 8350]],PAR_scrd[#All],200,FALSE)</f>
        <v>50000</v>
      </c>
      <c r="D200" s="355">
        <f>HLOOKUP(Comb_scrd[[#Headers],[Fortinet FortiGate-1500D]],PAR_scrd[#All],200,FALSE)</f>
        <v>18059</v>
      </c>
      <c r="E200" s="355">
        <f>HLOOKUP(Comb_scrd[[#Headers],[HP TippingPoint S7500NX]],PAR_scrd[#All],200,FALSE)</f>
        <v>52310</v>
      </c>
      <c r="F200" s="355">
        <f>HLOOKUP(Comb_scrd[[#Headers],[IBM Security Network Protection XGS 5100]],PAR_scrd[#All],200,FALSE)</f>
        <v>14543</v>
      </c>
      <c r="G200" s="355">
        <f>HLOOKUP(Comb_scrd[[#Headers],[IBM Security Network Protection XGS 7100]],PAR_scrd[#All],200,FALSE)</f>
        <v>46930</v>
      </c>
      <c r="H200" s="355">
        <f>HLOOKUP(Comb_scrd[[#Headers],[Palo Alto Networks PA-5020]],PAR_scrd[#All],200,FALSE)</f>
        <v>11641</v>
      </c>
    </row>
    <row r="201" spans="1:8" ht="12.75">
      <c r="A201" s="331" t="s">
        <v>34</v>
      </c>
      <c r="B201" s="331" t="s">
        <v>23</v>
      </c>
      <c r="C201" s="355">
        <f>HLOOKUP(Comb_scrd[[#Headers],[Cisco FirePOWER 8350]],PAR_scrd[#All],201,FALSE)</f>
        <v>100000</v>
      </c>
      <c r="D201" s="355">
        <f>HLOOKUP(Comb_scrd[[#Headers],[Fortinet FortiGate-1500D]],PAR_scrd[#All],201,FALSE)</f>
        <v>27980</v>
      </c>
      <c r="E201" s="355">
        <f>HLOOKUP(Comb_scrd[[#Headers],[HP TippingPoint S7500NX]],PAR_scrd[#All],201,FALSE)</f>
        <v>76780</v>
      </c>
      <c r="F201" s="355">
        <f>HLOOKUP(Comb_scrd[[#Headers],[IBM Security Network Protection XGS 5100]],PAR_scrd[#All],201,FALSE)</f>
        <v>26100</v>
      </c>
      <c r="G201" s="355">
        <f>HLOOKUP(Comb_scrd[[#Headers],[IBM Security Network Protection XGS 7100]],PAR_scrd[#All],201,FALSE)</f>
        <v>68800</v>
      </c>
      <c r="H201" s="355">
        <f>HLOOKUP(Comb_scrd[[#Headers],[Palo Alto Networks PA-5020]],PAR_scrd[#All],201,FALSE)</f>
        <v>13263</v>
      </c>
    </row>
    <row r="202" spans="1:8" ht="12.75">
      <c r="A202" s="331" t="s">
        <v>134</v>
      </c>
      <c r="B202" s="331" t="s">
        <v>25</v>
      </c>
      <c r="C202" s="355">
        <f>HLOOKUP(Comb_scrd[[#Headers],[Cisco FirePOWER 8350]],PAR_scrd[#All],202,FALSE)</f>
        <v>200000</v>
      </c>
      <c r="D202" s="355">
        <f>HLOOKUP(Comb_scrd[[#Headers],[Fortinet FortiGate-1500D]],PAR_scrd[#All],202,FALSE)</f>
        <v>38980</v>
      </c>
      <c r="E202" s="355">
        <f>HLOOKUP(Comb_scrd[[#Headers],[HP TippingPoint S7500NX]],PAR_scrd[#All],202,FALSE)</f>
        <v>95620</v>
      </c>
      <c r="F202" s="355">
        <f>HLOOKUP(Comb_scrd[[#Headers],[IBM Security Network Protection XGS 5100]],PAR_scrd[#All],202,FALSE)</f>
        <v>32820</v>
      </c>
      <c r="G202" s="355">
        <f>HLOOKUP(Comb_scrd[[#Headers],[IBM Security Network Protection XGS 7100]],PAR_scrd[#All],202,FALSE)</f>
        <v>96860</v>
      </c>
      <c r="H202" s="355">
        <f>HLOOKUP(Comb_scrd[[#Headers],[Palo Alto Networks PA-5020]],PAR_scrd[#All],202,FALSE)</f>
        <v>13805</v>
      </c>
    </row>
    <row r="203" spans="1:8" ht="12.75">
      <c r="A203" s="331" t="s">
        <v>135</v>
      </c>
      <c r="B203" s="331" t="s">
        <v>27</v>
      </c>
      <c r="C203" s="355">
        <f>HLOOKUP(Comb_scrd[[#Headers],[Cisco FirePOWER 8350]],PAR_scrd[#All],203,FALSE)</f>
        <v>314200</v>
      </c>
      <c r="D203" s="355">
        <f>HLOOKUP(Comb_scrd[[#Headers],[Fortinet FortiGate-1500D]],PAR_scrd[#All],203,FALSE)</f>
        <v>48230</v>
      </c>
      <c r="E203" s="355">
        <f>HLOOKUP(Comb_scrd[[#Headers],[HP TippingPoint S7500NX]],PAR_scrd[#All],203,FALSE)</f>
        <v>130430</v>
      </c>
      <c r="F203" s="355">
        <f>HLOOKUP(Comb_scrd[[#Headers],[IBM Security Network Protection XGS 5100]],PAR_scrd[#All],203,FALSE)</f>
        <v>42780</v>
      </c>
      <c r="G203" s="355">
        <f>HLOOKUP(Comb_scrd[[#Headers],[IBM Security Network Protection XGS 7100]],PAR_scrd[#All],203,FALSE)</f>
        <v>129570</v>
      </c>
      <c r="H203" s="355">
        <f>HLOOKUP(Comb_scrd[[#Headers],[Palo Alto Networks PA-5020]],PAR_scrd[#All],203,FALSE)</f>
        <v>13920</v>
      </c>
    </row>
    <row r="204" spans="1:8" ht="12.75">
      <c r="A204" s="331" t="s">
        <v>136</v>
      </c>
      <c r="B204" s="331" t="s">
        <v>29</v>
      </c>
      <c r="C204" s="355">
        <f>HLOOKUP(Comb_scrd[[#Headers],[Cisco FirePOWER 8350]],PAR_scrd[#All],204,FALSE)</f>
        <v>416900</v>
      </c>
      <c r="D204" s="355">
        <f>HLOOKUP(Comb_scrd[[#Headers],[Fortinet FortiGate-1500D]],PAR_scrd[#All],204,FALSE)</f>
        <v>60030</v>
      </c>
      <c r="E204" s="355">
        <f>HLOOKUP(Comb_scrd[[#Headers],[HP TippingPoint S7500NX]],PAR_scrd[#All],204,FALSE)</f>
        <v>161600</v>
      </c>
      <c r="F204" s="355">
        <f>HLOOKUP(Comb_scrd[[#Headers],[IBM Security Network Protection XGS 5100]],PAR_scrd[#All],204,FALSE)</f>
        <v>52800</v>
      </c>
      <c r="G204" s="355">
        <f>HLOOKUP(Comb_scrd[[#Headers],[IBM Security Network Protection XGS 7100]],PAR_scrd[#All],204,FALSE)</f>
        <v>153530</v>
      </c>
      <c r="H204" s="355">
        <f>HLOOKUP(Comb_scrd[[#Headers],[Palo Alto Networks PA-5020]],PAR_scrd[#All],204,FALSE)</f>
        <v>15369</v>
      </c>
    </row>
    <row r="205" spans="1:8" ht="12.75">
      <c r="A205" s="327">
        <v>4.5999999999999996</v>
      </c>
      <c r="B205" s="327" t="s">
        <v>161</v>
      </c>
      <c r="C205" s="328" t="str">
        <f>HLOOKUP(Comb_scrd[[#Headers],[Cisco FirePOWER 8350]],PAR_scrd[#All],205,FALSE)</f>
        <v>Milliseconds</v>
      </c>
      <c r="D205" s="328" t="str">
        <f>HLOOKUP(Comb_scrd[[#Headers],[Fortinet FortiGate-1500D]],PAR_scrd[#All],205,FALSE)</f>
        <v>Milliseconds</v>
      </c>
      <c r="E205" s="328" t="str">
        <f>HLOOKUP(Comb_scrd[[#Headers],[HP TippingPoint S7500NX]],PAR_scrd[#All],205,FALSE)</f>
        <v>Milliseconds</v>
      </c>
      <c r="F205" s="328" t="str">
        <f>HLOOKUP(Comb_scrd[[#Headers],[IBM Security Network Protection XGS 5100]],PAR_scrd[#All],205,FALSE)</f>
        <v>Milliseconds</v>
      </c>
      <c r="G205" s="328" t="str">
        <f>HLOOKUP(Comb_scrd[[#Headers],[IBM Security Network Protection XGS 7100]],PAR_scrd[#All],205,FALSE)</f>
        <v>Milliseconds</v>
      </c>
      <c r="H205" s="328" t="str">
        <f>HLOOKUP(Comb_scrd[[#Headers],[Palo Alto Networks PA-5020]],PAR_scrd[#All],205,FALSE)</f>
        <v>Milliseconds</v>
      </c>
    </row>
    <row r="206" spans="1:8" ht="12.75">
      <c r="A206" s="331" t="s">
        <v>44</v>
      </c>
      <c r="B206" s="331" t="s">
        <v>21</v>
      </c>
      <c r="C206" s="374">
        <f>HLOOKUP(Comb_scrd[[#Headers],[Cisco FirePOWER 8350]],PAR_scrd[#All],206,FALSE)</f>
        <v>0.91270000000000007</v>
      </c>
      <c r="D206" s="374">
        <f>HLOOKUP(Comb_scrd[[#Headers],[Fortinet FortiGate-1500D]],PAR_scrd[#All],206,FALSE)</f>
        <v>1.72905</v>
      </c>
      <c r="E206" s="374">
        <f>HLOOKUP(Comb_scrd[[#Headers],[HP TippingPoint S7500NX]],PAR_scrd[#All],206,FALSE)</f>
        <v>0.94804999999999995</v>
      </c>
      <c r="F206" s="374">
        <f>HLOOKUP(Comb_scrd[[#Headers],[IBM Security Network Protection XGS 5100]],PAR_scrd[#All],206,FALSE)</f>
        <v>0.79435</v>
      </c>
      <c r="G206" s="374">
        <f>HLOOKUP(Comb_scrd[[#Headers],[IBM Security Network Protection XGS 7100]],PAR_scrd[#All],206,FALSE)</f>
        <v>1.3349249999999999</v>
      </c>
      <c r="H206" s="374">
        <f>HLOOKUP(Comb_scrd[[#Headers],[Palo Alto Networks PA-5020]],PAR_scrd[#All],206,FALSE)</f>
        <v>14.863866666666667</v>
      </c>
    </row>
    <row r="207" spans="1:8" ht="12.75">
      <c r="A207" s="331" t="s">
        <v>664</v>
      </c>
      <c r="B207" s="331" t="s">
        <v>23</v>
      </c>
      <c r="C207" s="374">
        <f>HLOOKUP(Comb_scrd[[#Headers],[Cisco FirePOWER 8350]],PAR_scrd[#All],207,FALSE)</f>
        <v>0.7660499999999999</v>
      </c>
      <c r="D207" s="374">
        <f>HLOOKUP(Comb_scrd[[#Headers],[Fortinet FortiGate-1500D]],PAR_scrd[#All],207,FALSE)</f>
        <v>1.0848499999999999</v>
      </c>
      <c r="E207" s="374">
        <f>HLOOKUP(Comb_scrd[[#Headers],[HP TippingPoint S7500NX]],PAR_scrd[#All],207,FALSE)</f>
        <v>0.76732500000000003</v>
      </c>
      <c r="F207" s="374">
        <f>HLOOKUP(Comb_scrd[[#Headers],[IBM Security Network Protection XGS 5100]],PAR_scrd[#All],207,FALSE)</f>
        <v>0.64054999999999995</v>
      </c>
      <c r="G207" s="374">
        <f>HLOOKUP(Comb_scrd[[#Headers],[IBM Security Network Protection XGS 7100]],PAR_scrd[#All],207,FALSE)</f>
        <v>0.50819999999999999</v>
      </c>
      <c r="H207" s="374">
        <f>HLOOKUP(Comb_scrd[[#Headers],[Palo Alto Networks PA-5020]],PAR_scrd[#All],207,FALSE)</f>
        <v>8.6797333333333349</v>
      </c>
    </row>
    <row r="208" spans="1:8" ht="12.75">
      <c r="A208" s="331" t="s">
        <v>684</v>
      </c>
      <c r="B208" s="331" t="s">
        <v>25</v>
      </c>
      <c r="C208" s="374">
        <f>HLOOKUP(Comb_scrd[[#Headers],[Cisco FirePOWER 8350]],PAR_scrd[#All],208,FALSE)</f>
        <v>0.65175000000000005</v>
      </c>
      <c r="D208" s="374">
        <f>HLOOKUP(Comb_scrd[[#Headers],[Fortinet FortiGate-1500D]],PAR_scrd[#All],208,FALSE)</f>
        <v>0.73780000000000001</v>
      </c>
      <c r="E208" s="374">
        <f>HLOOKUP(Comb_scrd[[#Headers],[HP TippingPoint S7500NX]],PAR_scrd[#All],208,FALSE)</f>
        <v>0.20632500000000001</v>
      </c>
      <c r="F208" s="374">
        <f>HLOOKUP(Comb_scrd[[#Headers],[IBM Security Network Protection XGS 5100]],PAR_scrd[#All],208,FALSE)</f>
        <v>8.0750000000000002E-2</v>
      </c>
      <c r="G208" s="374">
        <f>HLOOKUP(Comb_scrd[[#Headers],[IBM Security Network Protection XGS 7100]],PAR_scrd[#All],208,FALSE)</f>
        <v>0.35062500000000002</v>
      </c>
      <c r="H208" s="374">
        <f>HLOOKUP(Comb_scrd[[#Headers],[Palo Alto Networks PA-5020]],PAR_scrd[#All],208,FALSE)</f>
        <v>5.3260000000000005</v>
      </c>
    </row>
    <row r="209" spans="1:8" ht="12.75">
      <c r="A209" s="331" t="s">
        <v>685</v>
      </c>
      <c r="B209" s="331" t="s">
        <v>27</v>
      </c>
      <c r="C209" s="374">
        <f>HLOOKUP(Comb_scrd[[#Headers],[Cisco FirePOWER 8350]],PAR_scrd[#All],209,FALSE)</f>
        <v>0.24854999999999999</v>
      </c>
      <c r="D209" s="374">
        <f>HLOOKUP(Comb_scrd[[#Headers],[Fortinet FortiGate-1500D]],PAR_scrd[#All],209,FALSE)</f>
        <v>0.47075</v>
      </c>
      <c r="E209" s="374">
        <f>HLOOKUP(Comb_scrd[[#Headers],[HP TippingPoint S7500NX]],PAR_scrd[#All],209,FALSE)</f>
        <v>5.0750000000000003E-2</v>
      </c>
      <c r="F209" s="374">
        <f>HLOOKUP(Comb_scrd[[#Headers],[IBM Security Network Protection XGS 5100]],PAR_scrd[#All],209,FALSE)</f>
        <v>4.5649999999999996E-2</v>
      </c>
      <c r="G209" s="374">
        <f>HLOOKUP(Comb_scrd[[#Headers],[IBM Security Network Protection XGS 7100]],PAR_scrd[#All],209,FALSE)</f>
        <v>0.20892499999999997</v>
      </c>
      <c r="H209" s="374">
        <f>HLOOKUP(Comb_scrd[[#Headers],[Palo Alto Networks PA-5020]],PAR_scrd[#All],209,FALSE)</f>
        <v>5.9201000000000006</v>
      </c>
    </row>
    <row r="210" spans="1:8" ht="12.75">
      <c r="A210" s="331" t="s">
        <v>686</v>
      </c>
      <c r="B210" s="331" t="s">
        <v>29</v>
      </c>
      <c r="C210" s="374">
        <f>HLOOKUP(Comb_scrd[[#Headers],[Cisco FirePOWER 8350]],PAR_scrd[#All],210,FALSE)</f>
        <v>0.31985000000000002</v>
      </c>
      <c r="D210" s="374">
        <f>HLOOKUP(Comb_scrd[[#Headers],[Fortinet FortiGate-1500D]],PAR_scrd[#All],210,FALSE)</f>
        <v>0.73345000000000005</v>
      </c>
      <c r="E210" s="374">
        <f>HLOOKUP(Comb_scrd[[#Headers],[HP TippingPoint S7500NX]],PAR_scrd[#All],210,FALSE)</f>
        <v>1.6925000000000003E-2</v>
      </c>
      <c r="F210" s="374">
        <f>HLOOKUP(Comb_scrd[[#Headers],[IBM Security Network Protection XGS 5100]],PAR_scrd[#All],210,FALSE)</f>
        <v>3.005E-2</v>
      </c>
      <c r="G210" s="374">
        <f>HLOOKUP(Comb_scrd[[#Headers],[IBM Security Network Protection XGS 7100]],PAR_scrd[#All],210,FALSE)</f>
        <v>0.14745</v>
      </c>
      <c r="H210" s="374">
        <f>HLOOKUP(Comb_scrd[[#Headers],[Palo Alto Networks PA-5020]],PAR_scrd[#All],210,FALSE)</f>
        <v>11.447650000000001</v>
      </c>
    </row>
    <row r="211" spans="1:8" ht="12.75">
      <c r="A211" s="327">
        <v>4.5</v>
      </c>
      <c r="B211" s="327" t="s">
        <v>358</v>
      </c>
      <c r="C211" s="328"/>
      <c r="D211" s="328"/>
      <c r="E211" s="328"/>
      <c r="F211" s="328"/>
      <c r="G211" s="328"/>
      <c r="H211" s="328"/>
    </row>
    <row r="212" spans="1:8" ht="12.75">
      <c r="A212" s="329" t="s">
        <v>36</v>
      </c>
      <c r="B212" s="331" t="s">
        <v>162</v>
      </c>
      <c r="C212" s="355">
        <f>HLOOKUP(Comb_scrd[[#Headers],[Cisco FirePOWER 8350]],PAR_scrd[#All],212,FALSE)</f>
        <v>100000</v>
      </c>
      <c r="D212" s="355">
        <f>HLOOKUP(Comb_scrd[[#Headers],[Fortinet FortiGate-1500D]],PAR_scrd[#All],212,FALSE)</f>
        <v>27980</v>
      </c>
      <c r="E212" s="355">
        <f>HLOOKUP(Comb_scrd[[#Headers],[HP TippingPoint S7500NX]],PAR_scrd[#All],212,FALSE)</f>
        <v>76780</v>
      </c>
      <c r="F212" s="355">
        <f>HLOOKUP(Comb_scrd[[#Headers],[IBM Security Network Protection XGS 5100]],PAR_scrd[#All],212,FALSE)</f>
        <v>26100</v>
      </c>
      <c r="G212" s="355">
        <f>HLOOKUP(Comb_scrd[[#Headers],[IBM Security Network Protection XGS 7100]],PAR_scrd[#All],212,FALSE)</f>
        <v>68800</v>
      </c>
      <c r="H212" s="355">
        <f>HLOOKUP(Comb_scrd[[#Headers],[Palo Alto Networks PA-5020]],PAR_scrd[#All],212,FALSE)</f>
        <v>13263</v>
      </c>
    </row>
    <row r="213" spans="1:8" ht="12.75">
      <c r="A213" s="329" t="s">
        <v>38</v>
      </c>
      <c r="B213" s="331" t="s">
        <v>163</v>
      </c>
      <c r="C213" s="355">
        <f>HLOOKUP(Comb_scrd[[#Headers],[Cisco FirePOWER 8350]],PAR_scrd[#All],213,FALSE)</f>
        <v>200000</v>
      </c>
      <c r="D213" s="355">
        <f>HLOOKUP(Comb_scrd[[#Headers],[Fortinet FortiGate-1500D]],PAR_scrd[#All],213,FALSE)</f>
        <v>38980</v>
      </c>
      <c r="E213" s="355">
        <f>HLOOKUP(Comb_scrd[[#Headers],[HP TippingPoint S7500NX]],PAR_scrd[#All],213,FALSE)</f>
        <v>95620</v>
      </c>
      <c r="F213" s="355">
        <f>HLOOKUP(Comb_scrd[[#Headers],[IBM Security Network Protection XGS 5100]],PAR_scrd[#All],213,FALSE)</f>
        <v>32820</v>
      </c>
      <c r="G213" s="355">
        <f>HLOOKUP(Comb_scrd[[#Headers],[IBM Security Network Protection XGS 7100]],PAR_scrd[#All],213,FALSE)</f>
        <v>96860</v>
      </c>
      <c r="H213" s="355">
        <f>HLOOKUP(Comb_scrd[[#Headers],[Palo Alto Networks PA-5020]],PAR_scrd[#All],213,FALSE)</f>
        <v>13805</v>
      </c>
    </row>
    <row r="214" spans="1:8" ht="12.75">
      <c r="A214" s="336">
        <v>4.7</v>
      </c>
      <c r="B214" s="336" t="s">
        <v>45</v>
      </c>
      <c r="C214" s="328" t="str">
        <f>HLOOKUP(Comb_scrd[[#Headers],[Cisco FirePOWER 8350]],PAR_scrd[#All],214,FALSE)</f>
        <v>Mbps</v>
      </c>
      <c r="D214" s="328" t="str">
        <f>HLOOKUP(Comb_scrd[[#Headers],[Fortinet FortiGate-1500D]],PAR_scrd[#All],214,FALSE)</f>
        <v>Mbps</v>
      </c>
      <c r="E214" s="328" t="str">
        <f>HLOOKUP(Comb_scrd[[#Headers],[HP TippingPoint S7500NX]],PAR_scrd[#All],214,FALSE)</f>
        <v>Mbps</v>
      </c>
      <c r="F214" s="328" t="str">
        <f>HLOOKUP(Comb_scrd[[#Headers],[IBM Security Network Protection XGS 5100]],PAR_scrd[#All],214,FALSE)</f>
        <v>Mbps</v>
      </c>
      <c r="G214" s="328" t="str">
        <f>HLOOKUP(Comb_scrd[[#Headers],[IBM Security Network Protection XGS 7100]],PAR_scrd[#All],214,FALSE)</f>
        <v>Mbps</v>
      </c>
      <c r="H214" s="328" t="str">
        <f>HLOOKUP(Comb_scrd[[#Headers],[Palo Alto Networks PA-5020]],PAR_scrd[#All],214,FALSE)</f>
        <v>Mbps</v>
      </c>
    </row>
    <row r="215" spans="1:8" ht="12.75">
      <c r="A215" s="332" t="s">
        <v>687</v>
      </c>
      <c r="B215" s="331" t="s">
        <v>359</v>
      </c>
      <c r="C215" s="355">
        <f>HLOOKUP(Comb_scrd[[#Headers],[Cisco FirePOWER 8350]],PAR_scrd[#All],215,FALSE)</f>
        <v>20000</v>
      </c>
      <c r="D215" s="355">
        <f>HLOOKUP(Comb_scrd[[#Headers],[Fortinet FortiGate-1500D]],PAR_scrd[#All],215,FALSE)</f>
        <v>9362</v>
      </c>
      <c r="E215" s="355">
        <f>HLOOKUP(Comb_scrd[[#Headers],[HP TippingPoint S7500NX]],PAR_scrd[#All],215,FALSE)</f>
        <v>23830</v>
      </c>
      <c r="F215" s="355">
        <f>HLOOKUP(Comb_scrd[[#Headers],[IBM Security Network Protection XGS 5100]],PAR_scrd[#All],215,FALSE)</f>
        <v>14047</v>
      </c>
      <c r="G215" s="355">
        <f>HLOOKUP(Comb_scrd[[#Headers],[IBM Security Network Protection XGS 7100]],PAR_scrd[#All],215,FALSE)</f>
        <v>40000</v>
      </c>
      <c r="H215" s="355">
        <f>HLOOKUP(Comb_scrd[[#Headers],[Palo Alto Networks PA-5020]],PAR_scrd[#All],215,FALSE)</f>
        <v>3061.8</v>
      </c>
    </row>
    <row r="216" spans="1:8" ht="12.75">
      <c r="A216" s="332" t="s">
        <v>688</v>
      </c>
      <c r="B216" s="331" t="s">
        <v>689</v>
      </c>
      <c r="C216" s="355">
        <f>HLOOKUP(Comb_scrd[[#Headers],[Cisco FirePOWER 8350]],PAR_scrd[#All],216,FALSE)</f>
        <v>20000</v>
      </c>
      <c r="D216" s="355">
        <f>HLOOKUP(Comb_scrd[[#Headers],[Fortinet FortiGate-1500D]],PAR_scrd[#All],216,FALSE)</f>
        <v>20000</v>
      </c>
      <c r="E216" s="355">
        <f>HLOOKUP(Comb_scrd[[#Headers],[HP TippingPoint S7500NX]],PAR_scrd[#All],216,FALSE)</f>
        <v>27060</v>
      </c>
      <c r="F216" s="355">
        <f>HLOOKUP(Comb_scrd[[#Headers],[IBM Security Network Protection XGS 5100]],PAR_scrd[#All],216,FALSE)</f>
        <v>7061</v>
      </c>
      <c r="G216" s="355">
        <f>HLOOKUP(Comb_scrd[[#Headers],[IBM Security Network Protection XGS 7100]],PAR_scrd[#All],216,FALSE)</f>
        <v>25210</v>
      </c>
      <c r="H216" s="355">
        <f>HLOOKUP(Comb_scrd[[#Headers],[Palo Alto Networks PA-5020]],PAR_scrd[#All],216,FALSE)</f>
        <v>3581</v>
      </c>
    </row>
    <row r="217" spans="1:8" ht="12.75">
      <c r="A217" s="332" t="s">
        <v>690</v>
      </c>
      <c r="B217" s="331" t="s">
        <v>360</v>
      </c>
      <c r="C217" s="355">
        <f>HLOOKUP(Comb_scrd[[#Headers],[Cisco FirePOWER 8350]],PAR_scrd[#All],217,FALSE)</f>
        <v>13029</v>
      </c>
      <c r="D217" s="355">
        <f>HLOOKUP(Comb_scrd[[#Headers],[Fortinet FortiGate-1500D]],PAR_scrd[#All],217,FALSE)</f>
        <v>4218</v>
      </c>
      <c r="E217" s="355">
        <f>HLOOKUP(Comb_scrd[[#Headers],[HP TippingPoint S7500NX]],PAR_scrd[#All],217,FALSE)</f>
        <v>6456</v>
      </c>
      <c r="F217" s="355">
        <f>HLOOKUP(Comb_scrd[[#Headers],[IBM Security Network Protection XGS 5100]],PAR_scrd[#All],217,FALSE)</f>
        <v>4840</v>
      </c>
      <c r="G217" s="355">
        <f>HLOOKUP(Comb_scrd[[#Headers],[IBM Security Network Protection XGS 7100]],PAR_scrd[#All],217,FALSE)</f>
        <v>9300</v>
      </c>
      <c r="H217" s="355">
        <f>HLOOKUP(Comb_scrd[[#Headers],[Palo Alto Networks PA-5020]],PAR_scrd[#All],217,FALSE)</f>
        <v>704.7</v>
      </c>
    </row>
    <row r="218" spans="1:8" ht="12.75">
      <c r="A218" s="332" t="s">
        <v>691</v>
      </c>
      <c r="B218" s="331" t="s">
        <v>361</v>
      </c>
      <c r="C218" s="355">
        <f>HLOOKUP(Comb_scrd[[#Headers],[Cisco FirePOWER 8350]],PAR_scrd[#All],218,FALSE)</f>
        <v>19635</v>
      </c>
      <c r="D218" s="355">
        <f>HLOOKUP(Comb_scrd[[#Headers],[Fortinet FortiGate-1500D]],PAR_scrd[#All],218,FALSE)</f>
        <v>19458</v>
      </c>
      <c r="E218" s="355">
        <f>HLOOKUP(Comb_scrd[[#Headers],[HP TippingPoint S7500NX]],PAR_scrd[#All],218,FALSE)</f>
        <v>20770</v>
      </c>
      <c r="F218" s="355">
        <f>HLOOKUP(Comb_scrd[[#Headers],[IBM Security Network Protection XGS 5100]],PAR_scrd[#All],218,FALSE)</f>
        <v>14673</v>
      </c>
      <c r="G218" s="355">
        <f>HLOOKUP(Comb_scrd[[#Headers],[IBM Security Network Protection XGS 7100]],PAR_scrd[#All],218,FALSE)</f>
        <v>32700</v>
      </c>
      <c r="H218" s="355">
        <f>HLOOKUP(Comb_scrd[[#Headers],[Palo Alto Networks PA-5020]],PAR_scrd[#All],218,FALSE)</f>
        <v>4864</v>
      </c>
    </row>
    <row r="219" spans="1:8" ht="12.75">
      <c r="A219" s="319">
        <v>5</v>
      </c>
      <c r="B219" s="319" t="s">
        <v>46</v>
      </c>
      <c r="C219" s="320"/>
      <c r="D219" s="320"/>
      <c r="E219" s="320"/>
      <c r="F219" s="320"/>
      <c r="G219" s="320"/>
      <c r="H219" s="320"/>
    </row>
    <row r="220" spans="1:8" ht="12.75">
      <c r="A220" s="336">
        <v>5.0999999999999996</v>
      </c>
      <c r="B220" s="336" t="s">
        <v>47</v>
      </c>
      <c r="C220" s="328" t="str">
        <f>HLOOKUP(Comb_scrd[[#Headers],[Cisco FirePOWER 8350]],PAR_scrd[#All],220,FALSE)</f>
        <v>PASS</v>
      </c>
      <c r="D220" s="328" t="str">
        <f>HLOOKUP(Comb_scrd[[#Headers],[Fortinet FortiGate-1500D]],PAR_scrd[#All],220,FALSE)</f>
        <v>PASS</v>
      </c>
      <c r="E220" s="328" t="str">
        <f>HLOOKUP(Comb_scrd[[#Headers],[HP TippingPoint S7500NX]],PAR_scrd[#All],220,FALSE)</f>
        <v>PASS</v>
      </c>
      <c r="F220" s="328" t="str">
        <f>HLOOKUP(Comb_scrd[[#Headers],[IBM Security Network Protection XGS 5100]],PAR_scrd[#All],220,FALSE)</f>
        <v>PASS</v>
      </c>
      <c r="G220" s="328" t="str">
        <f>HLOOKUP(Comb_scrd[[#Headers],[IBM Security Network Protection XGS 7100]],PAR_scrd[#All],220,FALSE)</f>
        <v>PASS</v>
      </c>
      <c r="H220" s="328" t="str">
        <f>HLOOKUP(Comb_scrd[[#Headers],[Palo Alto Networks PA-5020]],PAR_scrd[#All],220,FALSE)</f>
        <v>PASS</v>
      </c>
    </row>
    <row r="221" spans="1:8" ht="12.75">
      <c r="A221" s="336">
        <v>5.2</v>
      </c>
      <c r="B221" s="336" t="s">
        <v>48</v>
      </c>
      <c r="C221" s="328" t="str">
        <f>HLOOKUP(Comb_scrd[[#Headers],[Cisco FirePOWER 8350]],PAR_scrd[#All],221,FALSE)</f>
        <v>PASS</v>
      </c>
      <c r="D221" s="328" t="str">
        <f>HLOOKUP(Comb_scrd[[#Headers],[Fortinet FortiGate-1500D]],PAR_scrd[#All],221,FALSE)</f>
        <v>PASS</v>
      </c>
      <c r="E221" s="328" t="str">
        <f>HLOOKUP(Comb_scrd[[#Headers],[HP TippingPoint S7500NX]],PAR_scrd[#All],221,FALSE)</f>
        <v>PASS</v>
      </c>
      <c r="F221" s="328" t="str">
        <f>HLOOKUP(Comb_scrd[[#Headers],[IBM Security Network Protection XGS 5100]],PAR_scrd[#All],221,FALSE)</f>
        <v>PASS</v>
      </c>
      <c r="G221" s="328" t="str">
        <f>HLOOKUP(Comb_scrd[[#Headers],[IBM Security Network Protection XGS 7100]],PAR_scrd[#All],221,FALSE)</f>
        <v>PASS</v>
      </c>
      <c r="H221" s="328" t="str">
        <f>HLOOKUP(Comb_scrd[[#Headers],[Palo Alto Networks PA-5020]],PAR_scrd[#All],221,FALSE)</f>
        <v>PASS</v>
      </c>
    </row>
    <row r="222" spans="1:8" ht="12.75">
      <c r="A222" s="336">
        <v>5.3</v>
      </c>
      <c r="B222" s="327" t="s">
        <v>362</v>
      </c>
      <c r="C222" s="328" t="str">
        <f>HLOOKUP(Comb_scrd[[#Headers],[Cisco FirePOWER 8350]],PAR_scrd[#All],222,FALSE)</f>
        <v>PASS</v>
      </c>
      <c r="D222" s="328" t="str">
        <f>HLOOKUP(Comb_scrd[[#Headers],[Fortinet FortiGate-1500D]],PAR_scrd[#All],222,FALSE)</f>
        <v>PASS</v>
      </c>
      <c r="E222" s="328" t="str">
        <f>HLOOKUP(Comb_scrd[[#Headers],[HP TippingPoint S7500NX]],PAR_scrd[#All],222,FALSE)</f>
        <v>PASS</v>
      </c>
      <c r="F222" s="328" t="str">
        <f>HLOOKUP(Comb_scrd[[#Headers],[IBM Security Network Protection XGS 5100]],PAR_scrd[#All],222,FALSE)</f>
        <v>PASS</v>
      </c>
      <c r="G222" s="328" t="str">
        <f>HLOOKUP(Comb_scrd[[#Headers],[IBM Security Network Protection XGS 7100]],PAR_scrd[#All],222,FALSE)</f>
        <v>PASS</v>
      </c>
      <c r="H222" s="328" t="str">
        <f>HLOOKUP(Comb_scrd[[#Headers],[Palo Alto Networks PA-5020]],PAR_scrd[#All],222,FALSE)</f>
        <v>PASS</v>
      </c>
    </row>
    <row r="223" spans="1:8" ht="12.75">
      <c r="A223" s="332" t="s">
        <v>363</v>
      </c>
      <c r="B223" s="329" t="s">
        <v>364</v>
      </c>
      <c r="C223" s="349" t="str">
        <f>HLOOKUP(Comb_scrd[[#Headers],[Cisco FirePOWER 8350]],PAR_scrd[#All],223,FALSE)</f>
        <v>PASS</v>
      </c>
      <c r="D223" s="349" t="str">
        <f>HLOOKUP(Comb_scrd[[#Headers],[Fortinet FortiGate-1500D]],PAR_scrd[#All],223,FALSE)</f>
        <v>PASS</v>
      </c>
      <c r="E223" s="349" t="str">
        <f>HLOOKUP(Comb_scrd[[#Headers],[HP TippingPoint S7500NX]],PAR_scrd[#All],223,FALSE)</f>
        <v>PASS</v>
      </c>
      <c r="F223" s="349" t="str">
        <f>HLOOKUP(Comb_scrd[[#Headers],[IBM Security Network Protection XGS 5100]],PAR_scrd[#All],223,FALSE)</f>
        <v>PASS</v>
      </c>
      <c r="G223" s="349" t="str">
        <f>HLOOKUP(Comb_scrd[[#Headers],[IBM Security Network Protection XGS 7100]],PAR_scrd[#All],223,FALSE)</f>
        <v>PASS</v>
      </c>
      <c r="H223" s="349" t="str">
        <f>HLOOKUP(Comb_scrd[[#Headers],[Palo Alto Networks PA-5020]],PAR_scrd[#All],223,FALSE)</f>
        <v>PASS</v>
      </c>
    </row>
    <row r="224" spans="1:8" ht="12.75">
      <c r="A224" s="332" t="s">
        <v>365</v>
      </c>
      <c r="B224" s="329" t="s">
        <v>366</v>
      </c>
      <c r="C224" s="349" t="str">
        <f>HLOOKUP(Comb_scrd[[#Headers],[Cisco FirePOWER 8350]],PAR_scrd[#All],224,FALSE)</f>
        <v>PASS</v>
      </c>
      <c r="D224" s="349" t="str">
        <f>HLOOKUP(Comb_scrd[[#Headers],[Fortinet FortiGate-1500D]],PAR_scrd[#All],224,FALSE)</f>
        <v>PASS</v>
      </c>
      <c r="E224" s="349" t="str">
        <f>HLOOKUP(Comb_scrd[[#Headers],[HP TippingPoint S7500NX]],PAR_scrd[#All],224,FALSE)</f>
        <v>PASS</v>
      </c>
      <c r="F224" s="349" t="str">
        <f>HLOOKUP(Comb_scrd[[#Headers],[IBM Security Network Protection XGS 5100]],PAR_scrd[#All],224,FALSE)</f>
        <v>PASS</v>
      </c>
      <c r="G224" s="349" t="str">
        <f>HLOOKUP(Comb_scrd[[#Headers],[IBM Security Network Protection XGS 7100]],PAR_scrd[#All],224,FALSE)</f>
        <v>PASS</v>
      </c>
      <c r="H224" s="349" t="str">
        <f>HLOOKUP(Comb_scrd[[#Headers],[Palo Alto Networks PA-5020]],PAR_scrd[#All],224,FALSE)</f>
        <v>PASS</v>
      </c>
    </row>
    <row r="225" spans="1:8" ht="12.75">
      <c r="A225" s="332" t="s">
        <v>367</v>
      </c>
      <c r="B225" s="329" t="s">
        <v>368</v>
      </c>
      <c r="C225" s="349" t="str">
        <f>HLOOKUP(Comb_scrd[[#Headers],[Cisco FirePOWER 8350]],PAR_scrd[#All],225,FALSE)</f>
        <v>PASS</v>
      </c>
      <c r="D225" s="349" t="str">
        <f>HLOOKUP(Comb_scrd[[#Headers],[Fortinet FortiGate-1500D]],PAR_scrd[#All],225,FALSE)</f>
        <v>PASS</v>
      </c>
      <c r="E225" s="349" t="str">
        <f>HLOOKUP(Comb_scrd[[#Headers],[HP TippingPoint S7500NX]],PAR_scrd[#All],225,FALSE)</f>
        <v>PASS</v>
      </c>
      <c r="F225" s="349" t="str">
        <f>HLOOKUP(Comb_scrd[[#Headers],[IBM Security Network Protection XGS 5100]],PAR_scrd[#All],225,FALSE)</f>
        <v>PASS</v>
      </c>
      <c r="G225" s="349" t="str">
        <f>HLOOKUP(Comb_scrd[[#Headers],[IBM Security Network Protection XGS 7100]],PAR_scrd[#All],225,FALSE)</f>
        <v>PASS</v>
      </c>
      <c r="H225" s="349" t="str">
        <f>HLOOKUP(Comb_scrd[[#Headers],[Palo Alto Networks PA-5020]],PAR_scrd[#All],225,FALSE)</f>
        <v>PASS</v>
      </c>
    </row>
    <row r="226" spans="1:8" ht="12.75">
      <c r="A226" s="332" t="s">
        <v>369</v>
      </c>
      <c r="B226" s="331" t="s">
        <v>370</v>
      </c>
      <c r="C226" s="349" t="str">
        <f>HLOOKUP(Comb_scrd[[#Headers],[Cisco FirePOWER 8350]],PAR_scrd[#All],226,FALSE)</f>
        <v>PASS</v>
      </c>
      <c r="D226" s="349" t="str">
        <f>HLOOKUP(Comb_scrd[[#Headers],[Fortinet FortiGate-1500D]],PAR_scrd[#All],226,FALSE)</f>
        <v>PASS</v>
      </c>
      <c r="E226" s="349" t="str">
        <f>HLOOKUP(Comb_scrd[[#Headers],[HP TippingPoint S7500NX]],PAR_scrd[#All],226,FALSE)</f>
        <v>PASS</v>
      </c>
      <c r="F226" s="349" t="str">
        <f>HLOOKUP(Comb_scrd[[#Headers],[IBM Security Network Protection XGS 5100]],PAR_scrd[#All],226,FALSE)</f>
        <v>PASS</v>
      </c>
      <c r="G226" s="349" t="str">
        <f>HLOOKUP(Comb_scrd[[#Headers],[IBM Security Network Protection XGS 7100]],PAR_scrd[#All],226,FALSE)</f>
        <v>PASS</v>
      </c>
      <c r="H226" s="349" t="str">
        <f>HLOOKUP(Comb_scrd[[#Headers],[Palo Alto Networks PA-5020]],PAR_scrd[#All],226,FALSE)</f>
        <v>PASS</v>
      </c>
    </row>
    <row r="227" spans="1:8" ht="12.75">
      <c r="A227" s="332" t="s">
        <v>371</v>
      </c>
      <c r="B227" s="331" t="s">
        <v>372</v>
      </c>
      <c r="C227" s="349" t="str">
        <f>HLOOKUP(Comb_scrd[[#Headers],[Cisco FirePOWER 8350]],PAR_scrd[#All],227,FALSE)</f>
        <v>PASS</v>
      </c>
      <c r="D227" s="349" t="str">
        <f>HLOOKUP(Comb_scrd[[#Headers],[Fortinet FortiGate-1500D]],PAR_scrd[#All],227,FALSE)</f>
        <v>PASS</v>
      </c>
      <c r="E227" s="349" t="str">
        <f>HLOOKUP(Comb_scrd[[#Headers],[HP TippingPoint S7500NX]],PAR_scrd[#All],227,FALSE)</f>
        <v>PASS</v>
      </c>
      <c r="F227" s="349" t="str">
        <f>HLOOKUP(Comb_scrd[[#Headers],[IBM Security Network Protection XGS 5100]],PAR_scrd[#All],227,FALSE)</f>
        <v>PASS</v>
      </c>
      <c r="G227" s="349" t="str">
        <f>HLOOKUP(Comb_scrd[[#Headers],[IBM Security Network Protection XGS 7100]],PAR_scrd[#All],227,FALSE)</f>
        <v>PASS</v>
      </c>
      <c r="H227" s="349" t="str">
        <f>HLOOKUP(Comb_scrd[[#Headers],[Palo Alto Networks PA-5020]],PAR_scrd[#All],227,FALSE)</f>
        <v>PASS</v>
      </c>
    </row>
    <row r="228" spans="1:8" ht="12.75">
      <c r="A228" s="336">
        <v>5.4</v>
      </c>
      <c r="B228" s="336" t="s">
        <v>49</v>
      </c>
      <c r="C228" s="328" t="str">
        <f>HLOOKUP(Comb_scrd[[#Headers],[Cisco FirePOWER 8350]],PAR_scrd[#All],228,FALSE)</f>
        <v>PASS</v>
      </c>
      <c r="D228" s="328" t="str">
        <f>HLOOKUP(Comb_scrd[[#Headers],[Fortinet FortiGate-1500D]],PAR_scrd[#All],228,FALSE)</f>
        <v>PASS</v>
      </c>
      <c r="E228" s="328" t="str">
        <f>HLOOKUP(Comb_scrd[[#Headers],[HP TippingPoint S7500NX]],PAR_scrd[#All],228,FALSE)</f>
        <v>PASS</v>
      </c>
      <c r="F228" s="328" t="str">
        <f>HLOOKUP(Comb_scrd[[#Headers],[IBM Security Network Protection XGS 5100]],PAR_scrd[#All],228,FALSE)</f>
        <v>PASS</v>
      </c>
      <c r="G228" s="328" t="str">
        <f>HLOOKUP(Comb_scrd[[#Headers],[IBM Security Network Protection XGS 7100]],PAR_scrd[#All],228,FALSE)</f>
        <v>PASS</v>
      </c>
      <c r="H228" s="328" t="str">
        <f>HLOOKUP(Comb_scrd[[#Headers],[Palo Alto Networks PA-5020]],PAR_scrd[#All],228,FALSE)</f>
        <v>PASS</v>
      </c>
    </row>
    <row r="229" spans="1:8" ht="12.75">
      <c r="A229" s="336">
        <v>5.5</v>
      </c>
      <c r="B229" s="336" t="s">
        <v>50</v>
      </c>
      <c r="C229" s="328" t="str">
        <f>HLOOKUP(Comb_scrd[[#Headers],[Cisco FirePOWER 8350]],PAR_scrd[#All],229,FALSE)</f>
        <v>PASS</v>
      </c>
      <c r="D229" s="328" t="str">
        <f>HLOOKUP(Comb_scrd[[#Headers],[Fortinet FortiGate-1500D]],PAR_scrd[#All],229,FALSE)</f>
        <v>PASS</v>
      </c>
      <c r="E229" s="328" t="str">
        <f>HLOOKUP(Comb_scrd[[#Headers],[HP TippingPoint S7500NX]],PAR_scrd[#All],229,FALSE)</f>
        <v>PASS</v>
      </c>
      <c r="F229" s="328" t="str">
        <f>HLOOKUP(Comb_scrd[[#Headers],[IBM Security Network Protection XGS 5100]],PAR_scrd[#All],229,FALSE)</f>
        <v>PASS</v>
      </c>
      <c r="G229" s="328" t="str">
        <f>HLOOKUP(Comb_scrd[[#Headers],[IBM Security Network Protection XGS 7100]],PAR_scrd[#All],229,FALSE)</f>
        <v>PASS</v>
      </c>
      <c r="H229" s="328" t="str">
        <f>HLOOKUP(Comb_scrd[[#Headers],[Palo Alto Networks PA-5020]],PAR_scrd[#All],229,FALSE)</f>
        <v>PASS</v>
      </c>
    </row>
    <row r="230" spans="1:8" ht="12.75">
      <c r="A230" s="336">
        <v>5.6</v>
      </c>
      <c r="B230" s="336" t="s">
        <v>51</v>
      </c>
      <c r="C230" s="328" t="str">
        <f>HLOOKUP(Comb_scrd[[#Headers],[Cisco FirePOWER 8350]],PAR_scrd[#All],230,FALSE)</f>
        <v>YES</v>
      </c>
      <c r="D230" s="328" t="str">
        <f>HLOOKUP(Comb_scrd[[#Headers],[Fortinet FortiGate-1500D]],PAR_scrd[#All],230,FALSE)</f>
        <v>YES</v>
      </c>
      <c r="E230" s="328" t="str">
        <f>HLOOKUP(Comb_scrd[[#Headers],[HP TippingPoint S7500NX]],PAR_scrd[#All],230,FALSE)</f>
        <v>YES</v>
      </c>
      <c r="F230" s="328" t="str">
        <f>HLOOKUP(Comb_scrd[[#Headers],[IBM Security Network Protection XGS 5100]],PAR_scrd[#All],230,FALSE)</f>
        <v>YES</v>
      </c>
      <c r="G230" s="328" t="str">
        <f>HLOOKUP(Comb_scrd[[#Headers],[IBM Security Network Protection XGS 7100]],PAR_scrd[#All],230,FALSE)</f>
        <v>YES</v>
      </c>
      <c r="H230" s="328" t="str">
        <f>HLOOKUP(Comb_scrd[[#Headers],[Palo Alto Networks PA-5020]],PAR_scrd[#All],230,FALSE)</f>
        <v>YES</v>
      </c>
    </row>
    <row r="231" spans="1:8" ht="12.75">
      <c r="A231" s="336">
        <v>5.7</v>
      </c>
      <c r="B231" s="336" t="s">
        <v>52</v>
      </c>
      <c r="C231" s="328" t="str">
        <f>HLOOKUP(Comb_scrd[[#Headers],[Cisco FirePOWER 8350]],PAR_scrd[#All],231,FALSE)</f>
        <v>PASS</v>
      </c>
      <c r="D231" s="328" t="str">
        <f>HLOOKUP(Comb_scrd[[#Headers],[Fortinet FortiGate-1500D]],PAR_scrd[#All],231,FALSE)</f>
        <v>PASS</v>
      </c>
      <c r="E231" s="328" t="str">
        <f>HLOOKUP(Comb_scrd[[#Headers],[HP TippingPoint S7500NX]],PAR_scrd[#All],231,FALSE)</f>
        <v>PASS</v>
      </c>
      <c r="F231" s="328" t="str">
        <f>HLOOKUP(Comb_scrd[[#Headers],[IBM Security Network Protection XGS 5100]],PAR_scrd[#All],231,FALSE)</f>
        <v>PASS</v>
      </c>
      <c r="G231" s="328" t="str">
        <f>HLOOKUP(Comb_scrd[[#Headers],[IBM Security Network Protection XGS 7100]],PAR_scrd[#All],231,FALSE)</f>
        <v>PASS</v>
      </c>
      <c r="H231" s="328" t="str">
        <f>HLOOKUP(Comb_scrd[[#Headers],[Palo Alto Networks PA-5020]],PAR_scrd[#All],231,FALSE)</f>
        <v>PASS</v>
      </c>
    </row>
    <row r="232" spans="1:8" ht="12.75">
      <c r="A232" s="345">
        <v>7</v>
      </c>
      <c r="B232" s="345" t="s">
        <v>53</v>
      </c>
      <c r="C232" s="365"/>
      <c r="D232" s="365"/>
      <c r="E232" s="365"/>
      <c r="F232" s="365"/>
      <c r="G232" s="365"/>
      <c r="H232" s="365"/>
    </row>
    <row r="233" spans="1:8" ht="12.75">
      <c r="A233" s="347">
        <v>7.1</v>
      </c>
      <c r="B233" s="347" t="s">
        <v>54</v>
      </c>
      <c r="C233" s="366"/>
      <c r="D233" s="366"/>
      <c r="E233" s="366"/>
      <c r="F233" s="366"/>
      <c r="G233" s="366"/>
      <c r="H233" s="366"/>
    </row>
    <row r="234" spans="1:8" ht="12.75">
      <c r="A234" s="331" t="s">
        <v>55</v>
      </c>
      <c r="B234" s="331" t="s">
        <v>56</v>
      </c>
      <c r="C234" s="349">
        <f>HLOOKUP(Comb_scrd[[#Headers],[Cisco FirePOWER 8350]],PAR_scrd[#All],234,FALSE)</f>
        <v>8</v>
      </c>
      <c r="D234" s="349">
        <f>HLOOKUP(Comb_scrd[[#Headers],[Fortinet FortiGate-1500D]],PAR_scrd[#All],234,FALSE)</f>
        <v>8</v>
      </c>
      <c r="E234" s="349">
        <f>HLOOKUP(Comb_scrd[[#Headers],[HP TippingPoint S7500NX]],PAR_scrd[#All],234,FALSE)</f>
        <v>8</v>
      </c>
      <c r="F234" s="349">
        <f>HLOOKUP(Comb_scrd[[#Headers],[IBM Security Network Protection XGS 5100]],PAR_scrd[#All],234,FALSE)</f>
        <v>8</v>
      </c>
      <c r="G234" s="349">
        <f>HLOOKUP(Comb_scrd[[#Headers],[IBM Security Network Protection XGS 7100]],PAR_scrd[#All],234,FALSE)</f>
        <v>8</v>
      </c>
      <c r="H234" s="349">
        <f>HLOOKUP(Comb_scrd[[#Headers],[Palo Alto Networks PA-5020]],PAR_scrd[#All],234,FALSE)</f>
        <v>8</v>
      </c>
    </row>
    <row r="235" spans="1:8" ht="12.75">
      <c r="A235" s="331" t="s">
        <v>154</v>
      </c>
      <c r="B235" s="331" t="s">
        <v>155</v>
      </c>
      <c r="C235" s="349" t="str">
        <f>HLOOKUP(Comb_scrd[[#Headers],[Cisco FirePOWER 8350]],PAR_scrd[#All],235,FALSE)</f>
        <v>Contact NSS</v>
      </c>
      <c r="D235" s="349" t="str">
        <f>HLOOKUP(Comb_scrd[[#Headers],[Fortinet FortiGate-1500D]],PAR_scrd[#All],235,FALSE)</f>
        <v>Contact NSS</v>
      </c>
      <c r="E235" s="349" t="str">
        <f>HLOOKUP(Comb_scrd[[#Headers],[HP TippingPoint S7500NX]],PAR_scrd[#All],235,FALSE)</f>
        <v>Contact NSS</v>
      </c>
      <c r="F235" s="349" t="str">
        <f>HLOOKUP(Comb_scrd[[#Headers],[IBM Security Network Protection XGS 5100]],PAR_scrd[#All],235,FALSE)</f>
        <v>Contact NSS</v>
      </c>
      <c r="G235" s="349" t="str">
        <f>HLOOKUP(Comb_scrd[[#Headers],[IBM Security Network Protection XGS 7100]],PAR_scrd[#All],235,FALSE)</f>
        <v>Contact NSS</v>
      </c>
      <c r="H235" s="349" t="str">
        <f>HLOOKUP(Comb_scrd[[#Headers],[Palo Alto Networks PA-5020]],PAR_scrd[#All],235,FALSE)</f>
        <v>Contact NSS</v>
      </c>
    </row>
    <row r="236" spans="1:8" ht="12.75">
      <c r="A236" s="331" t="s">
        <v>373</v>
      </c>
      <c r="B236" s="331" t="s">
        <v>374</v>
      </c>
      <c r="C236" s="349" t="str">
        <f>HLOOKUP(Comb_scrd[[#Headers],[Cisco FirePOWER 8350]],PAR_scrd[#All],236,FALSE)</f>
        <v>Contact NSS</v>
      </c>
      <c r="D236" s="349" t="str">
        <f>HLOOKUP(Comb_scrd[[#Headers],[Fortinet FortiGate-1500D]],PAR_scrd[#All],236,FALSE)</f>
        <v>Contact NSS</v>
      </c>
      <c r="E236" s="349" t="str">
        <f>HLOOKUP(Comb_scrd[[#Headers],[HP TippingPoint S7500NX]],PAR_scrd[#All],236,FALSE)</f>
        <v>Contact NSS</v>
      </c>
      <c r="F236" s="349" t="str">
        <f>HLOOKUP(Comb_scrd[[#Headers],[IBM Security Network Protection XGS 5100]],PAR_scrd[#All],236,FALSE)</f>
        <v>Contact NSS</v>
      </c>
      <c r="G236" s="349" t="str">
        <f>HLOOKUP(Comb_scrd[[#Headers],[IBM Security Network Protection XGS 7100]],PAR_scrd[#All],236,FALSE)</f>
        <v>Contact NSS</v>
      </c>
      <c r="H236" s="349" t="str">
        <f>HLOOKUP(Comb_scrd[[#Headers],[Palo Alto Networks PA-5020]],PAR_scrd[#All],236,FALSE)</f>
        <v>Contact NSS</v>
      </c>
    </row>
    <row r="237" spans="1:8" ht="12.75">
      <c r="A237" s="347">
        <v>7.2</v>
      </c>
      <c r="B237" s="347" t="s">
        <v>57</v>
      </c>
      <c r="C237" s="366"/>
      <c r="D237" s="366"/>
      <c r="E237" s="366"/>
      <c r="F237" s="366"/>
      <c r="G237" s="366"/>
      <c r="H237" s="366"/>
    </row>
    <row r="238" spans="1:8" ht="12.75">
      <c r="A238" s="331" t="s">
        <v>58</v>
      </c>
      <c r="B238" s="331" t="s">
        <v>59</v>
      </c>
      <c r="C238" s="353">
        <f>HLOOKUP(Comb_scrd[[#Headers],[Cisco FirePOWER 8350]],PAR_scrd[#All],238,FALSE)</f>
        <v>242390</v>
      </c>
      <c r="D238" s="353">
        <f>HLOOKUP(Comb_scrd[[#Headers],[Fortinet FortiGate-1500D]],PAR_scrd[#All],238,FALSE)</f>
        <v>24998</v>
      </c>
      <c r="E238" s="353">
        <f>HLOOKUP(Comb_scrd[[#Headers],[HP TippingPoint S7500NX]],PAR_scrd[#All],238,FALSE)</f>
        <v>201596</v>
      </c>
      <c r="F238" s="353">
        <f>HLOOKUP(Comb_scrd[[#Headers],[IBM Security Network Protection XGS 5100]],PAR_scrd[#All],238,FALSE)</f>
        <v>108158</v>
      </c>
      <c r="G238" s="353">
        <f>HLOOKUP(Comb_scrd[[#Headers],[IBM Security Network Protection XGS 7100]],PAR_scrd[#All],238,FALSE)</f>
        <v>283392</v>
      </c>
      <c r="H238" s="353">
        <f>HLOOKUP(Comb_scrd[[#Headers],[Palo Alto Networks PA-5020]],PAR_scrd[#All],238,FALSE)</f>
        <v>41500</v>
      </c>
    </row>
    <row r="239" spans="1:8" ht="12.75">
      <c r="A239" s="331" t="s">
        <v>64</v>
      </c>
      <c r="B239" s="331" t="s">
        <v>65</v>
      </c>
      <c r="C239" s="353">
        <f>HLOOKUP(Comb_scrd[[#Headers],[Cisco FirePOWER 8350]],PAR_scrd[#All],239,FALSE)</f>
        <v>600</v>
      </c>
      <c r="D239" s="353">
        <f>HLOOKUP(Comb_scrd[[#Headers],[Fortinet FortiGate-1500D]],PAR_scrd[#All],239,FALSE)</f>
        <v>600</v>
      </c>
      <c r="E239" s="353">
        <f>HLOOKUP(Comb_scrd[[#Headers],[HP TippingPoint S7500NX]],PAR_scrd[#All],239,FALSE)</f>
        <v>600</v>
      </c>
      <c r="F239" s="353">
        <f>HLOOKUP(Comb_scrd[[#Headers],[IBM Security Network Protection XGS 5100]],PAR_scrd[#All],239,FALSE)</f>
        <v>600</v>
      </c>
      <c r="G239" s="353">
        <f>HLOOKUP(Comb_scrd[[#Headers],[IBM Security Network Protection XGS 7100]],PAR_scrd[#All],239,FALSE)</f>
        <v>600</v>
      </c>
      <c r="H239" s="353">
        <f>HLOOKUP(Comb_scrd[[#Headers],[Palo Alto Networks PA-5020]],PAR_scrd[#All],239,FALSE)</f>
        <v>600</v>
      </c>
    </row>
    <row r="240" spans="1:8" ht="12.75">
      <c r="A240" s="331" t="s">
        <v>61</v>
      </c>
      <c r="B240" s="331" t="s">
        <v>62</v>
      </c>
      <c r="C240" s="353">
        <f>HLOOKUP(Comb_scrd[[#Headers],[Cisco FirePOWER 8350]],PAR_scrd[#All],240,FALSE)</f>
        <v>19386.666666666668</v>
      </c>
      <c r="D240" s="353">
        <f>HLOOKUP(Comb_scrd[[#Headers],[Fortinet FortiGate-1500D]],PAR_scrd[#All],240,FALSE)</f>
        <v>10469</v>
      </c>
      <c r="E240" s="353">
        <f>HLOOKUP(Comb_scrd[[#Headers],[HP TippingPoint S7500NX]],PAR_scrd[#All],240,FALSE)</f>
        <v>41159</v>
      </c>
      <c r="F240" s="353">
        <f>HLOOKUP(Comb_scrd[[#Headers],[IBM Security Network Protection XGS 5100]],PAR_scrd[#All],240,FALSE)</f>
        <v>23742</v>
      </c>
      <c r="G240" s="353">
        <f>HLOOKUP(Comb_scrd[[#Headers],[IBM Security Network Protection XGS 7100]],PAR_scrd[#All],240,FALSE)</f>
        <v>62208</v>
      </c>
      <c r="H240" s="353">
        <f>HLOOKUP(Comb_scrd[[#Headers],[Palo Alto Networks PA-5020]],PAR_scrd[#All],240,FALSE)</f>
        <v>3840</v>
      </c>
    </row>
    <row r="241" spans="1:8" ht="12.75">
      <c r="A241" s="331" t="s">
        <v>375</v>
      </c>
      <c r="B241" s="331" t="s">
        <v>376</v>
      </c>
      <c r="C241" s="353">
        <f>HLOOKUP(Comb_scrd[[#Headers],[Cisco FirePOWER 8350]],PAR_scrd[#All],241,FALSE)</f>
        <v>0</v>
      </c>
      <c r="D241" s="353">
        <f>HLOOKUP(Comb_scrd[[#Headers],[Fortinet FortiGate-1500D]],PAR_scrd[#All],241,FALSE)</f>
        <v>0</v>
      </c>
      <c r="E241" s="353">
        <f>HLOOKUP(Comb_scrd[[#Headers],[HP TippingPoint S7500NX]],PAR_scrd[#All],241,FALSE)</f>
        <v>0</v>
      </c>
      <c r="F241" s="353">
        <f>HLOOKUP(Comb_scrd[[#Headers],[IBM Security Network Protection XGS 5100]],PAR_scrd[#All],241,FALSE)</f>
        <v>0</v>
      </c>
      <c r="G241" s="353">
        <f>HLOOKUP(Comb_scrd[[#Headers],[IBM Security Network Protection XGS 7100]],PAR_scrd[#All],241,FALSE)</f>
        <v>0</v>
      </c>
      <c r="H241" s="353">
        <f>HLOOKUP(Comb_scrd[[#Headers],[Palo Alto Networks PA-5020]],PAR_scrd[#All],241,FALSE)</f>
        <v>6400</v>
      </c>
    </row>
    <row r="242" spans="1:8" ht="12.75">
      <c r="A242" s="331" t="s">
        <v>60</v>
      </c>
      <c r="B242" s="331" t="s">
        <v>692</v>
      </c>
      <c r="C242" s="353">
        <f>HLOOKUP(Comb_scrd[[#Headers],[Cisco FirePOWER 8350]],Mngt_scrd[#All],4,FALSE)</f>
        <v>10795</v>
      </c>
      <c r="D242" s="353">
        <f>HLOOKUP(Comb_scrd[[#Headers],[Fortinet FortiGate-1500D]],Mngt_scrd[#All],4,FALSE)</f>
        <v>6998</v>
      </c>
      <c r="E242" s="353">
        <f>HLOOKUP(Comb_scrd[[#Headers],[HP TippingPoint S7500NX]],Mngt_scrd[#All],4,FALSE)</f>
        <v>10496</v>
      </c>
      <c r="F242" s="353">
        <f>HLOOKUP(Comb_scrd[[#Headers],[IBM Security Network Protection XGS 5100]],Mngt_scrd[#All],4,FALSE)</f>
        <v>10640</v>
      </c>
      <c r="G242" s="353">
        <f>HLOOKUP(Comb_scrd[[#Headers],[IBM Security Network Protection XGS 7100]],Mngt_scrd[#All],4,FALSE)</f>
        <v>10640</v>
      </c>
      <c r="H242" s="353">
        <f>HLOOKUP(Comb_scrd[[#Headers],[Palo Alto Networks PA-5020]],Mngt_scrd[#All],4,FALSE)</f>
        <v>20000</v>
      </c>
    </row>
    <row r="243" spans="1:8" ht="12.75">
      <c r="A243" s="331" t="s">
        <v>63</v>
      </c>
      <c r="B243" s="331" t="s">
        <v>693</v>
      </c>
      <c r="C243" s="353">
        <f>HLOOKUP(Comb_scrd[[#Headers],[Cisco FirePOWER 8350]],Mngt_scrd[#All],5,FALSE)</f>
        <v>1799</v>
      </c>
      <c r="D243" s="353">
        <f>HLOOKUP(Comb_scrd[[#Headers],[Fortinet FortiGate-1500D]],Mngt_scrd[#All],5,FALSE)</f>
        <v>1531</v>
      </c>
      <c r="E243" s="353">
        <f>HLOOKUP(Comb_scrd[[#Headers],[HP TippingPoint S7500NX]],Mngt_scrd[#All],5,FALSE)</f>
        <v>2204</v>
      </c>
      <c r="F243" s="353">
        <f>HLOOKUP(Comb_scrd[[#Headers],[IBM Security Network Protection XGS 5100]],Mngt_scrd[#All],5,FALSE)</f>
        <v>2660</v>
      </c>
      <c r="G243" s="353">
        <f>HLOOKUP(Comb_scrd[[#Headers],[IBM Security Network Protection XGS 7100]],Mngt_scrd[#All],5,FALSE)</f>
        <v>2660</v>
      </c>
      <c r="H243" s="353">
        <f>HLOOKUP(Comb_scrd[[#Headers],[Palo Alto Networks PA-5020]],Mngt_scrd[#All],5,FALSE)</f>
        <v>3299.3333333333298</v>
      </c>
    </row>
    <row r="244" spans="1:8" ht="12.75">
      <c r="A244" s="331" t="s">
        <v>156</v>
      </c>
      <c r="B244" s="331" t="s">
        <v>377</v>
      </c>
      <c r="C244" s="349" t="str">
        <f>HLOOKUP(Comb_scrd[[#Headers],[Cisco FirePOWER 8350]],PAR_scrd[#All],244,FALSE)</f>
        <v>Contact NSS</v>
      </c>
      <c r="D244" s="349" t="str">
        <f>HLOOKUP(Comb_scrd[[#Headers],[Fortinet FortiGate-1500D]],PAR_scrd[#All],244,FALSE)</f>
        <v>Contact NSS</v>
      </c>
      <c r="E244" s="349" t="str">
        <f>HLOOKUP(Comb_scrd[[#Headers],[HP TippingPoint S7500NX]],PAR_scrd[#All],244,FALSE)</f>
        <v>Contact NSS</v>
      </c>
      <c r="F244" s="349" t="str">
        <f>HLOOKUP(Comb_scrd[[#Headers],[IBM Security Network Protection XGS 5100]],PAR_scrd[#All],244,FALSE)</f>
        <v>Contact NSS</v>
      </c>
      <c r="G244" s="349" t="str">
        <f>HLOOKUP(Comb_scrd[[#Headers],[IBM Security Network Protection XGS 7100]],PAR_scrd[#All],244,FALSE)</f>
        <v>Contact NSS</v>
      </c>
      <c r="H244" s="349" t="str">
        <f>HLOOKUP(Comb_scrd[[#Headers],[Palo Alto Networks PA-5020]],PAR_scrd[#All],244,FALSE)</f>
        <v>Contact NSS</v>
      </c>
    </row>
    <row r="245" spans="1:8" ht="12.75">
      <c r="A245" s="331" t="s">
        <v>157</v>
      </c>
      <c r="B245" s="331" t="s">
        <v>378</v>
      </c>
      <c r="C245" s="349" t="str">
        <f>HLOOKUP(Comb_scrd[[#Headers],[Cisco FirePOWER 8350]],PAR_scrd[#All],245,FALSE)</f>
        <v>Contact NSS</v>
      </c>
      <c r="D245" s="349" t="str">
        <f>HLOOKUP(Comb_scrd[[#Headers],[Fortinet FortiGate-1500D]],PAR_scrd[#All],245,FALSE)</f>
        <v>Contact NSS</v>
      </c>
      <c r="E245" s="349" t="str">
        <f>HLOOKUP(Comb_scrd[[#Headers],[HP TippingPoint S7500NX]],PAR_scrd[#All],245,FALSE)</f>
        <v>Contact NSS</v>
      </c>
      <c r="F245" s="349" t="str">
        <f>HLOOKUP(Comb_scrd[[#Headers],[IBM Security Network Protection XGS 5100]],PAR_scrd[#All],245,FALSE)</f>
        <v>Contact NSS</v>
      </c>
      <c r="G245" s="349" t="str">
        <f>HLOOKUP(Comb_scrd[[#Headers],[IBM Security Network Protection XGS 7100]],PAR_scrd[#All],245,FALSE)</f>
        <v>Contact NSS</v>
      </c>
      <c r="H245" s="349" t="str">
        <f>HLOOKUP(Comb_scrd[[#Headers],[Palo Alto Networks PA-5020]],PAR_scrd[#All],245,FALSE)</f>
        <v>Contact NSS</v>
      </c>
    </row>
    <row r="246" spans="1:8" ht="12.75">
      <c r="A246" s="347">
        <v>7.3</v>
      </c>
      <c r="B246" s="347" t="s">
        <v>53</v>
      </c>
      <c r="C246" s="366"/>
      <c r="D246" s="366"/>
      <c r="E246" s="366"/>
      <c r="F246" s="366"/>
      <c r="G246" s="366"/>
      <c r="H246" s="366"/>
    </row>
    <row r="247" spans="1:8" ht="12.75">
      <c r="A247" s="331" t="s">
        <v>66</v>
      </c>
      <c r="B247" s="331" t="s">
        <v>67</v>
      </c>
      <c r="C247" s="353">
        <f>C238+C239+C240+C241+C242+C243</f>
        <v>274970.66666666669</v>
      </c>
      <c r="D247" s="353">
        <f t="shared" ref="D247:H247" si="0">D238+D239+D240+D241+D242+D243</f>
        <v>44596</v>
      </c>
      <c r="E247" s="353">
        <f t="shared" si="0"/>
        <v>256055</v>
      </c>
      <c r="F247" s="353">
        <f t="shared" si="0"/>
        <v>145800</v>
      </c>
      <c r="G247" s="353">
        <f t="shared" si="0"/>
        <v>359500</v>
      </c>
      <c r="H247" s="353">
        <f t="shared" si="0"/>
        <v>75639.333333333328</v>
      </c>
    </row>
    <row r="248" spans="1:8" ht="12.75">
      <c r="A248" s="331" t="s">
        <v>68</v>
      </c>
      <c r="B248" s="331" t="s">
        <v>69</v>
      </c>
      <c r="C248" s="353">
        <f>C240+C241+C243</f>
        <v>21185.666666666668</v>
      </c>
      <c r="D248" s="353">
        <f t="shared" ref="D248:H248" si="1">D240+D241+D243</f>
        <v>12000</v>
      </c>
      <c r="E248" s="353">
        <f t="shared" si="1"/>
        <v>43363</v>
      </c>
      <c r="F248" s="353">
        <f t="shared" si="1"/>
        <v>26402</v>
      </c>
      <c r="G248" s="353">
        <f t="shared" si="1"/>
        <v>64868</v>
      </c>
      <c r="H248" s="353">
        <f t="shared" si="1"/>
        <v>13539.33333333333</v>
      </c>
    </row>
    <row r="249" spans="1:8" ht="12.75">
      <c r="A249" s="331" t="s">
        <v>70</v>
      </c>
      <c r="B249" s="331" t="s">
        <v>71</v>
      </c>
      <c r="C249" s="353">
        <f>C240+C241+C243</f>
        <v>21185.666666666668</v>
      </c>
      <c r="D249" s="353">
        <f t="shared" ref="D249:H249" si="2">D240+D241+D243</f>
        <v>12000</v>
      </c>
      <c r="E249" s="353">
        <f t="shared" si="2"/>
        <v>43363</v>
      </c>
      <c r="F249" s="353">
        <f t="shared" si="2"/>
        <v>26402</v>
      </c>
      <c r="G249" s="353">
        <f t="shared" si="2"/>
        <v>64868</v>
      </c>
      <c r="H249" s="353">
        <f t="shared" si="2"/>
        <v>13539.33333333333</v>
      </c>
    </row>
    <row r="250" spans="1:8" ht="12.75">
      <c r="A250" s="331" t="s">
        <v>72</v>
      </c>
      <c r="B250" s="331" t="s">
        <v>73</v>
      </c>
      <c r="C250" s="353">
        <f>C247+C248+C249</f>
        <v>317342.00000000006</v>
      </c>
      <c r="D250" s="353">
        <f t="shared" ref="D250:H250" si="3">D247+D248+D249</f>
        <v>68596</v>
      </c>
      <c r="E250" s="353">
        <f t="shared" si="3"/>
        <v>342781</v>
      </c>
      <c r="F250" s="353">
        <f t="shared" si="3"/>
        <v>198604</v>
      </c>
      <c r="G250" s="353">
        <f t="shared" si="3"/>
        <v>489236</v>
      </c>
      <c r="H250" s="353">
        <f t="shared" si="3"/>
        <v>102717.99999999999</v>
      </c>
    </row>
    <row r="294" spans="8:8" ht="12.75">
      <c r="H294" s="335"/>
    </row>
    <row r="295" spans="8:8" ht="12.75">
      <c r="H295" s="335"/>
    </row>
    <row r="296" spans="8:8" ht="12.75">
      <c r="H296" s="335"/>
    </row>
    <row r="297" spans="8:8" ht="12.75">
      <c r="H297" s="335"/>
    </row>
    <row r="298" spans="8:8" ht="12.75">
      <c r="H298" s="335"/>
    </row>
    <row r="299" spans="8:8" ht="12.75">
      <c r="H299" s="335"/>
    </row>
    <row r="300" spans="8:8" ht="12.75">
      <c r="H300" s="335"/>
    </row>
    <row r="301" spans="8:8" ht="12.75">
      <c r="H301" s="335"/>
    </row>
    <row r="302" spans="8:8" ht="12.75">
      <c r="H302" s="335"/>
    </row>
    <row r="303" spans="8:8" ht="12.75">
      <c r="H303" s="335"/>
    </row>
    <row r="304" spans="8:8" ht="12.75">
      <c r="H304" s="335"/>
    </row>
    <row r="305" spans="8:8" ht="12.75">
      <c r="H305" s="335"/>
    </row>
    <row r="306" spans="8:8" ht="12.75">
      <c r="H306" s="335"/>
    </row>
    <row r="307" spans="8:8" ht="12.75">
      <c r="H307" s="335"/>
    </row>
    <row r="308" spans="8:8" ht="12.75">
      <c r="H308" s="335"/>
    </row>
    <row r="309" spans="8:8" ht="12.75">
      <c r="H309" s="335"/>
    </row>
    <row r="310" spans="8:8" ht="12.75">
      <c r="H310" s="335"/>
    </row>
    <row r="311" spans="8:8" ht="12.75">
      <c r="H311" s="335"/>
    </row>
    <row r="312" spans="8:8" ht="12.75">
      <c r="H312" s="335"/>
    </row>
    <row r="313" spans="8:8" ht="12.75">
      <c r="H313" s="335"/>
    </row>
    <row r="314" spans="8:8" ht="12.75">
      <c r="H314" s="335"/>
    </row>
    <row r="315" spans="8:8" ht="12.75">
      <c r="H315" s="335"/>
    </row>
    <row r="316" spans="8:8" ht="12.75">
      <c r="H316" s="335"/>
    </row>
    <row r="317" spans="8:8" ht="12.75">
      <c r="H317" s="335"/>
    </row>
    <row r="318" spans="8:8" ht="12.75">
      <c r="H318" s="334"/>
    </row>
    <row r="319" spans="8:8" ht="12.75">
      <c r="H319" s="335"/>
    </row>
    <row r="320" spans="8:8" ht="12.75">
      <c r="H320" s="335"/>
    </row>
    <row r="321" spans="8:8" ht="12.75">
      <c r="H321" s="335"/>
    </row>
    <row r="322" spans="8:8" ht="12.75">
      <c r="H322" s="335"/>
    </row>
    <row r="323" spans="8:8" ht="12.75">
      <c r="H323" s="335"/>
    </row>
    <row r="324" spans="8:8" ht="12.75">
      <c r="H324" s="335"/>
    </row>
    <row r="325" spans="8:8" ht="12.75">
      <c r="H325" s="335"/>
    </row>
    <row r="326" spans="8:8" ht="12.75">
      <c r="H326" s="335"/>
    </row>
    <row r="327" spans="8:8" ht="12.75">
      <c r="H327" s="335"/>
    </row>
    <row r="328" spans="8:8" ht="12.75">
      <c r="H328" s="335"/>
    </row>
    <row r="329" spans="8:8" ht="12.75">
      <c r="H329" s="335"/>
    </row>
    <row r="330" spans="8:8" ht="12.75">
      <c r="H330" s="335"/>
    </row>
    <row r="331" spans="8:8" ht="12.75">
      <c r="H331" s="335"/>
    </row>
    <row r="332" spans="8:8" ht="12.75">
      <c r="H332" s="335"/>
    </row>
    <row r="333" spans="8:8" ht="12.75">
      <c r="H333" s="335"/>
    </row>
    <row r="334" spans="8:8" ht="12.75">
      <c r="H334" s="335"/>
    </row>
    <row r="335" spans="8:8" ht="12.75">
      <c r="H335" s="335"/>
    </row>
    <row r="336" spans="8:8" ht="12.75">
      <c r="H336" s="335"/>
    </row>
    <row r="337" spans="8:8" ht="12.75">
      <c r="H337" s="335"/>
    </row>
    <row r="338" spans="8:8" ht="12.75">
      <c r="H338" s="335"/>
    </row>
    <row r="339" spans="8:8" ht="12.75">
      <c r="H339" s="335"/>
    </row>
    <row r="340" spans="8:8" ht="12.75">
      <c r="H340" s="335"/>
    </row>
    <row r="341" spans="8:8" ht="12.75">
      <c r="H341" s="335"/>
    </row>
    <row r="342" spans="8:8" ht="12.75">
      <c r="H342" s="337"/>
    </row>
    <row r="343" spans="8:8" ht="12.75">
      <c r="H343" s="335"/>
    </row>
    <row r="344" spans="8:8" ht="12.75">
      <c r="H344" s="335"/>
    </row>
    <row r="345" spans="8:8" ht="12.75">
      <c r="H345" s="335"/>
    </row>
    <row r="346" spans="8:8" ht="12.75">
      <c r="H346" s="334"/>
    </row>
    <row r="347" spans="8:8" ht="12.75">
      <c r="H347" s="335"/>
    </row>
    <row r="348" spans="8:8" ht="12.75">
      <c r="H348" s="335"/>
    </row>
    <row r="349" spans="8:8" ht="12.75">
      <c r="H349" s="335"/>
    </row>
    <row r="350" spans="8:8" ht="12.75">
      <c r="H350" s="335"/>
    </row>
    <row r="351" spans="8:8" ht="12.75">
      <c r="H351" s="335"/>
    </row>
    <row r="352" spans="8:8" ht="12.75">
      <c r="H352" s="335"/>
    </row>
    <row r="353" spans="8:8" ht="12.75">
      <c r="H353" s="335"/>
    </row>
    <row r="354" spans="8:8" ht="12.75">
      <c r="H354" s="335"/>
    </row>
    <row r="355" spans="8:8" ht="12.75">
      <c r="H355" s="335"/>
    </row>
    <row r="356" spans="8:8" ht="12.75">
      <c r="H356" s="335"/>
    </row>
    <row r="357" spans="8:8" ht="12.75">
      <c r="H357" s="335"/>
    </row>
    <row r="358" spans="8:8" ht="12.75">
      <c r="H358" s="335"/>
    </row>
    <row r="359" spans="8:8" ht="12.75">
      <c r="H359" s="335"/>
    </row>
    <row r="360" spans="8:8" ht="12.75">
      <c r="H360" s="335"/>
    </row>
    <row r="361" spans="8:8" ht="12.75">
      <c r="H361" s="335"/>
    </row>
    <row r="362" spans="8:8" ht="12.75">
      <c r="H362" s="335"/>
    </row>
    <row r="363" spans="8:8" ht="12.75">
      <c r="H363" s="334"/>
    </row>
    <row r="364" spans="8:8" ht="12.75">
      <c r="H364" s="335"/>
    </row>
    <row r="365" spans="8:8" ht="12.75">
      <c r="H365" s="335"/>
    </row>
    <row r="366" spans="8:8" ht="12.75">
      <c r="H366" s="335"/>
    </row>
    <row r="367" spans="8:8" ht="12.75">
      <c r="H367" s="335"/>
    </row>
    <row r="368" spans="8:8" ht="12.75">
      <c r="H368" s="335"/>
    </row>
    <row r="369" spans="8:8" ht="12.75">
      <c r="H369" s="335"/>
    </row>
    <row r="370" spans="8:8" ht="12.75">
      <c r="H370" s="335"/>
    </row>
    <row r="371" spans="8:8" ht="12.75">
      <c r="H371" s="335"/>
    </row>
    <row r="372" spans="8:8" ht="12.75">
      <c r="H372" s="335"/>
    </row>
    <row r="373" spans="8:8" ht="12.75">
      <c r="H373" s="335"/>
    </row>
    <row r="374" spans="8:8" ht="12.75">
      <c r="H374" s="335"/>
    </row>
    <row r="375" spans="8:8" ht="12.75">
      <c r="H375" s="335"/>
    </row>
    <row r="376" spans="8:8" ht="12.75">
      <c r="H376" s="335"/>
    </row>
    <row r="377" spans="8:8" ht="12.75">
      <c r="H377" s="335"/>
    </row>
    <row r="378" spans="8:8" ht="12.75">
      <c r="H378" s="335"/>
    </row>
    <row r="379" spans="8:8" ht="12.75">
      <c r="H379" s="337"/>
    </row>
    <row r="380" spans="8:8" ht="12.75">
      <c r="H380" s="335"/>
    </row>
    <row r="381" spans="8:8" ht="12.75">
      <c r="H381" s="335"/>
    </row>
    <row r="382" spans="8:8" ht="12.75">
      <c r="H382" s="335"/>
    </row>
    <row r="383" spans="8:8" ht="12.75">
      <c r="H383" s="335"/>
    </row>
    <row r="384" spans="8:8" ht="12.75">
      <c r="H384" s="334"/>
    </row>
    <row r="385" spans="8:8" ht="12.75">
      <c r="H385" s="335"/>
    </row>
    <row r="386" spans="8:8" ht="12.75">
      <c r="H386" s="335"/>
    </row>
    <row r="387" spans="8:8" ht="12.75">
      <c r="H387" s="335"/>
    </row>
    <row r="388" spans="8:8" ht="12.75">
      <c r="H388" s="335"/>
    </row>
    <row r="389" spans="8:8" ht="12.75">
      <c r="H389" s="335"/>
    </row>
    <row r="390" spans="8:8" ht="12.75">
      <c r="H390" s="335"/>
    </row>
    <row r="391" spans="8:8" ht="12.75">
      <c r="H391" s="335"/>
    </row>
    <row r="392" spans="8:8" ht="12.75">
      <c r="H392" s="335"/>
    </row>
    <row r="393" spans="8:8" ht="12.75">
      <c r="H393" s="335"/>
    </row>
    <row r="394" spans="8:8" ht="12.75">
      <c r="H394" s="337"/>
    </row>
    <row r="395" spans="8:8" ht="12.75">
      <c r="H395" s="334"/>
    </row>
    <row r="396" spans="8:8" ht="12.75">
      <c r="H396" s="335"/>
    </row>
    <row r="397" spans="8:8" ht="12.75">
      <c r="H397" s="335"/>
    </row>
    <row r="398" spans="8:8" ht="12.75">
      <c r="H398" s="335"/>
    </row>
    <row r="399" spans="8:8" ht="12.75">
      <c r="H399" s="335"/>
    </row>
    <row r="400" spans="8:8" ht="12.75">
      <c r="H400" s="335"/>
    </row>
    <row r="401" spans="8:8" ht="12.75">
      <c r="H401" s="335"/>
    </row>
    <row r="402" spans="8:8" ht="12.75">
      <c r="H402" s="335"/>
    </row>
    <row r="403" spans="8:8" ht="12.75">
      <c r="H403" s="335"/>
    </row>
    <row r="404" spans="8:8" ht="12.75">
      <c r="H404" s="335"/>
    </row>
    <row r="405" spans="8:8" ht="12.75">
      <c r="H405" s="335"/>
    </row>
    <row r="406" spans="8:8" ht="12.75">
      <c r="H406" s="335"/>
    </row>
    <row r="407" spans="8:8" ht="12.75">
      <c r="H407" s="335"/>
    </row>
    <row r="408" spans="8:8" ht="12.75">
      <c r="H408" s="335"/>
    </row>
    <row r="409" spans="8:8" ht="12.75">
      <c r="H409" s="335"/>
    </row>
    <row r="410" spans="8:8" ht="12.75">
      <c r="H410" s="334"/>
    </row>
    <row r="411" spans="8:8" ht="12.75">
      <c r="H411" s="335"/>
    </row>
    <row r="412" spans="8:8" ht="12.75">
      <c r="H412" s="335"/>
    </row>
    <row r="413" spans="8:8" ht="12.75">
      <c r="H413" s="335"/>
    </row>
    <row r="414" spans="8:8" ht="12.75">
      <c r="H414" s="335"/>
    </row>
    <row r="415" spans="8:8" ht="12.75">
      <c r="H415" s="335"/>
    </row>
    <row r="416" spans="8:8" ht="12.75">
      <c r="H416" s="335"/>
    </row>
    <row r="417" spans="8:8" ht="12.75">
      <c r="H417" s="335"/>
    </row>
    <row r="418" spans="8:8" ht="12.75">
      <c r="H418" s="335"/>
    </row>
    <row r="419" spans="8:8" ht="12.75">
      <c r="H419" s="334"/>
    </row>
    <row r="420" spans="8:8" ht="12.75">
      <c r="H420" s="335"/>
    </row>
    <row r="421" spans="8:8" ht="12.75">
      <c r="H421" s="335"/>
    </row>
    <row r="422" spans="8:8" ht="12.75">
      <c r="H422" s="335"/>
    </row>
    <row r="423" spans="8:8" ht="12.75">
      <c r="H423" s="334"/>
    </row>
    <row r="424" spans="8:8" ht="12.75">
      <c r="H424" s="335"/>
    </row>
    <row r="425" spans="8:8" ht="12.75">
      <c r="H425" s="337"/>
    </row>
    <row r="426" spans="8:8" ht="12.75">
      <c r="H426" s="320"/>
    </row>
    <row r="427" spans="8:8" ht="12.75">
      <c r="H427" s="328"/>
    </row>
    <row r="428" spans="8:8" ht="12.75">
      <c r="H428" s="328"/>
    </row>
    <row r="429" spans="8:8" ht="12.75">
      <c r="H429" s="354"/>
    </row>
    <row r="430" spans="8:8" ht="12.75">
      <c r="H430" s="354"/>
    </row>
    <row r="431" spans="8:8" ht="12.75">
      <c r="H431" s="354"/>
    </row>
    <row r="432" spans="8:8" ht="12.75">
      <c r="H432" s="354"/>
    </row>
    <row r="433" spans="8:8" ht="12.75">
      <c r="H433" s="354"/>
    </row>
    <row r="434" spans="8:8" ht="12.75">
      <c r="H434" s="354"/>
    </row>
    <row r="435" spans="8:8" ht="12.75">
      <c r="H435" s="339"/>
    </row>
    <row r="436" spans="8:8" ht="12.75">
      <c r="H436" s="340"/>
    </row>
    <row r="437" spans="8:8" ht="12.75">
      <c r="H437" s="340"/>
    </row>
    <row r="438" spans="8:8" ht="12.75">
      <c r="H438" s="340"/>
    </row>
    <row r="439" spans="8:8" ht="12.75">
      <c r="H439" s="340"/>
    </row>
    <row r="440" spans="8:8" ht="12.75">
      <c r="H440" s="340"/>
    </row>
    <row r="441" spans="8:8" ht="12.75">
      <c r="H441" s="340"/>
    </row>
    <row r="442" spans="8:8" ht="12.75">
      <c r="H442" s="328"/>
    </row>
    <row r="443" spans="8:8" ht="12.75">
      <c r="H443" s="342"/>
    </row>
    <row r="444" spans="8:8" ht="12.75">
      <c r="H444" s="342"/>
    </row>
    <row r="445" spans="8:8" ht="12.75">
      <c r="H445" s="342"/>
    </row>
    <row r="446" spans="8:8" ht="12.75">
      <c r="H446" s="342"/>
    </row>
    <row r="447" spans="8:8" ht="12.75">
      <c r="H447" s="342"/>
    </row>
    <row r="448" spans="8:8" ht="12.75">
      <c r="H448" s="328"/>
    </row>
    <row r="449" spans="8:8" ht="12.75">
      <c r="H449" s="342"/>
    </row>
    <row r="450" spans="8:8" ht="12.75">
      <c r="H450" s="342"/>
    </row>
    <row r="451" spans="8:8" ht="12.75">
      <c r="H451" s="342"/>
    </row>
    <row r="452" spans="8:8" ht="12.75">
      <c r="H452" s="342"/>
    </row>
    <row r="453" spans="8:8" ht="12.75">
      <c r="H453" s="342"/>
    </row>
    <row r="454" spans="8:8" ht="12.75">
      <c r="H454" s="339"/>
    </row>
    <row r="455" spans="8:8" ht="12.75">
      <c r="H455" s="343"/>
    </row>
    <row r="456" spans="8:8" ht="12.75">
      <c r="H456" s="343"/>
    </row>
    <row r="457" spans="8:8" ht="12.75">
      <c r="H457" s="343"/>
    </row>
    <row r="458" spans="8:8" ht="12.75">
      <c r="H458" s="343"/>
    </row>
    <row r="459" spans="8:8" ht="12.75">
      <c r="H459" s="343"/>
    </row>
    <row r="460" spans="8:8" ht="12.75">
      <c r="H460" s="339"/>
    </row>
    <row r="461" spans="8:8" ht="12.75">
      <c r="H461" s="342"/>
    </row>
    <row r="462" spans="8:8" ht="12.75">
      <c r="H462" s="342"/>
    </row>
    <row r="463" spans="8:8" ht="12.75">
      <c r="H463" s="328"/>
    </row>
    <row r="464" spans="8:8" ht="12.75">
      <c r="H464" s="342"/>
    </row>
    <row r="465" spans="8:8" ht="12.75">
      <c r="H465" s="342"/>
    </row>
    <row r="466" spans="8:8" ht="12.75">
      <c r="H466" s="342"/>
    </row>
    <row r="467" spans="8:8" ht="12.75">
      <c r="H467" s="342"/>
    </row>
    <row r="468" spans="8:8" ht="12.75">
      <c r="H468" s="344"/>
    </row>
    <row r="469" spans="8:8" ht="12.75">
      <c r="H469" s="339"/>
    </row>
    <row r="470" spans="8:8" ht="12.75">
      <c r="H470" s="339"/>
    </row>
    <row r="471" spans="8:8" ht="12.75">
      <c r="H471" s="339"/>
    </row>
    <row r="472" spans="8:8" ht="12.75">
      <c r="H472" s="356"/>
    </row>
    <row r="473" spans="8:8" ht="12.75">
      <c r="H473" s="356"/>
    </row>
    <row r="474" spans="8:8" ht="12.75">
      <c r="H474" s="356"/>
    </row>
    <row r="475" spans="8:8" ht="12.75">
      <c r="H475" s="356"/>
    </row>
    <row r="476" spans="8:8" ht="12.75">
      <c r="H476" s="356"/>
    </row>
    <row r="477" spans="8:8" ht="12.75">
      <c r="H477" s="339"/>
    </row>
    <row r="478" spans="8:8" ht="12.75">
      <c r="H478" s="339"/>
    </row>
    <row r="479" spans="8:8" ht="12.75">
      <c r="H479" s="339"/>
    </row>
    <row r="480" spans="8:8" ht="12.75">
      <c r="H480" s="339"/>
    </row>
    <row r="481" spans="8:8" ht="12.75">
      <c r="H481" s="346"/>
    </row>
    <row r="482" spans="8:8" ht="12.75">
      <c r="H482" s="348"/>
    </row>
    <row r="483" spans="8:8" ht="12.75">
      <c r="H483" s="349"/>
    </row>
    <row r="484" spans="8:8" ht="12.75">
      <c r="H484" s="350"/>
    </row>
    <row r="485" spans="8:8" ht="12.75">
      <c r="H485" s="350"/>
    </row>
    <row r="486" spans="8:8" ht="12.75">
      <c r="H486" s="328"/>
    </row>
    <row r="487" spans="8:8" ht="12.75">
      <c r="H487" s="351"/>
    </row>
    <row r="488" spans="8:8" ht="12.75">
      <c r="H488" s="351"/>
    </row>
    <row r="489" spans="8:8" ht="12.75">
      <c r="H489" s="351"/>
    </row>
    <row r="490" spans="8:8" ht="12.75">
      <c r="H490" s="351"/>
    </row>
    <row r="491" spans="8:8" ht="12.75">
      <c r="H491" s="350"/>
    </row>
    <row r="492" spans="8:8" ht="12.75">
      <c r="H492" s="350"/>
    </row>
    <row r="493" spans="8:8" ht="12.75">
      <c r="H493" s="350"/>
    </row>
    <row r="494" spans="8:8" ht="12.75">
      <c r="H494" s="350"/>
    </row>
    <row r="495" spans="8:8" ht="12.75">
      <c r="H495" s="328"/>
    </row>
    <row r="496" spans="8:8" ht="12.75">
      <c r="H496" s="352"/>
    </row>
    <row r="497" spans="8:8" ht="12.75">
      <c r="H497" s="352"/>
    </row>
    <row r="498" spans="8:8" ht="12.75">
      <c r="H498" s="352"/>
    </row>
    <row r="499" spans="8:8" ht="12.75">
      <c r="H499" s="355"/>
    </row>
  </sheetData>
  <sheetProtection algorithmName="SHA-512" hashValue="L6wIIM2q9+R1eFvaRVtJsVadHzvwpPUgZdB6Kd5VCDszpySI1E0wm+UnNe7mDO6Ud8gmIBk03zmmwVmTWjIATA==" saltValue="70UzO900JvdiJ0LjFuYatQ==" spinCount="100000" sheet="1" objects="1" scenarios="1"/>
  <phoneticPr fontId="11" type="noConversion"/>
  <conditionalFormatting sqref="H342 H363 H379 H394:H395 H294:H317">
    <cfRule type="cellIs" dxfId="189" priority="55" operator="equal">
      <formula>0</formula>
    </cfRule>
  </conditionalFormatting>
  <conditionalFormatting sqref="H364:H378">
    <cfRule type="cellIs" dxfId="188" priority="42" operator="equal">
      <formula>0</formula>
    </cfRule>
  </conditionalFormatting>
  <conditionalFormatting sqref="H277">
    <cfRule type="cellIs" dxfId="187" priority="49" operator="equal">
      <formula>0</formula>
    </cfRule>
  </conditionalFormatting>
  <conditionalFormatting sqref="H384">
    <cfRule type="cellIs" dxfId="186" priority="54" operator="equal">
      <formula>0</formula>
    </cfRule>
  </conditionalFormatting>
  <conditionalFormatting sqref="H346">
    <cfRule type="cellIs" dxfId="185" priority="53" operator="equal">
      <formula>0</formula>
    </cfRule>
  </conditionalFormatting>
  <conditionalFormatting sqref="H278:H292">
    <cfRule type="cellIs" dxfId="184" priority="50" operator="equal">
      <formula>0</formula>
    </cfRule>
  </conditionalFormatting>
  <conditionalFormatting sqref="H293">
    <cfRule type="cellIs" dxfId="183" priority="51" operator="equal">
      <formula>0</formula>
    </cfRule>
  </conditionalFormatting>
  <conditionalFormatting sqref="H318">
    <cfRule type="cellIs" dxfId="182" priority="52" operator="equal">
      <formula>0</formula>
    </cfRule>
  </conditionalFormatting>
  <conditionalFormatting sqref="H276">
    <cfRule type="cellIs" dxfId="181" priority="48" operator="equal">
      <formula>0</formula>
    </cfRule>
  </conditionalFormatting>
  <conditionalFormatting sqref="H396:H409">
    <cfRule type="cellIs" dxfId="180" priority="41" operator="equal">
      <formula>0</formula>
    </cfRule>
  </conditionalFormatting>
  <conditionalFormatting sqref="H347:H362">
    <cfRule type="cellIs" dxfId="179" priority="43" operator="equal">
      <formula>0</formula>
    </cfRule>
  </conditionalFormatting>
  <conditionalFormatting sqref="H424">
    <cfRule type="cellIs" dxfId="178" priority="38" operator="equal">
      <formula>0</formula>
    </cfRule>
  </conditionalFormatting>
  <conditionalFormatting sqref="H260:H262">
    <cfRule type="cellIs" dxfId="177" priority="34" operator="equal">
      <formula>0</formula>
    </cfRule>
  </conditionalFormatting>
  <conditionalFormatting sqref="H319:H341">
    <cfRule type="cellIs" dxfId="176" priority="47" operator="equal">
      <formula>0</formula>
    </cfRule>
  </conditionalFormatting>
  <conditionalFormatting sqref="H426 H384 H394:H424 H428:H442 H463:H467 H263:H266 H268 H255 H270:H379">
    <cfRule type="cellIs" dxfId="175" priority="56" operator="equal">
      <formula>0</formula>
    </cfRule>
  </conditionalFormatting>
  <conditionalFormatting sqref="H345">
    <cfRule type="cellIs" dxfId="174" priority="44" operator="equal">
      <formula>0</formula>
    </cfRule>
  </conditionalFormatting>
  <conditionalFormatting sqref="H343:H345">
    <cfRule type="cellIs" dxfId="173" priority="46" operator="equal">
      <formula>0</formula>
    </cfRule>
  </conditionalFormatting>
  <conditionalFormatting sqref="H483 H486">
    <cfRule type="cellIs" dxfId="172" priority="35" operator="equal">
      <formula>0</formula>
    </cfRule>
  </conditionalFormatting>
  <conditionalFormatting sqref="H259">
    <cfRule type="cellIs" dxfId="171" priority="17" operator="equal">
      <formula>0</formula>
    </cfRule>
  </conditionalFormatting>
  <conditionalFormatting sqref="H267">
    <cfRule type="cellIs" dxfId="170" priority="16" operator="equal">
      <formula>0</formula>
    </cfRule>
  </conditionalFormatting>
  <conditionalFormatting sqref="H385:H393">
    <cfRule type="cellIs" dxfId="169" priority="20" operator="equal">
      <formula>0</formula>
    </cfRule>
  </conditionalFormatting>
  <conditionalFormatting sqref="H269">
    <cfRule type="cellIs" dxfId="168" priority="18" operator="equal">
      <formula>0</formula>
    </cfRule>
  </conditionalFormatting>
  <conditionalFormatting sqref="H344">
    <cfRule type="cellIs" dxfId="167" priority="45" operator="equal">
      <formula>0</formula>
    </cfRule>
  </conditionalFormatting>
  <conditionalFormatting sqref="H420:H422">
    <cfRule type="cellIs" dxfId="166" priority="39" operator="equal">
      <formula>0</formula>
    </cfRule>
  </conditionalFormatting>
  <conditionalFormatting sqref="H411:H418">
    <cfRule type="cellIs" dxfId="165" priority="40" operator="equal">
      <formula>0</formula>
    </cfRule>
  </conditionalFormatting>
  <conditionalFormatting sqref="H496:H498">
    <cfRule type="cellIs" dxfId="164" priority="36" operator="equal">
      <formula>0</formula>
    </cfRule>
  </conditionalFormatting>
  <conditionalFormatting sqref="H495 H488">
    <cfRule type="cellIs" dxfId="163" priority="37" operator="equal">
      <formula>0</formula>
    </cfRule>
  </conditionalFormatting>
  <conditionalFormatting sqref="H461:H462 H443:H459">
    <cfRule type="cellIs" dxfId="162" priority="33" operator="equal">
      <formula>0</formula>
    </cfRule>
  </conditionalFormatting>
  <conditionalFormatting sqref="H460">
    <cfRule type="cellIs" dxfId="161" priority="32" operator="equal">
      <formula>0</formula>
    </cfRule>
  </conditionalFormatting>
  <conditionalFormatting sqref="H468:H476 H479:H480">
    <cfRule type="cellIs" dxfId="160" priority="31" operator="equal">
      <formula>0</formula>
    </cfRule>
  </conditionalFormatting>
  <conditionalFormatting sqref="H425">
    <cfRule type="cellIs" dxfId="159" priority="27" operator="equal">
      <formula>0</formula>
    </cfRule>
  </conditionalFormatting>
  <conditionalFormatting sqref="H425">
    <cfRule type="cellIs" dxfId="158" priority="30" operator="equal">
      <formula>0</formula>
    </cfRule>
  </conditionalFormatting>
  <conditionalFormatting sqref="H425">
    <cfRule type="cellIs" dxfId="157" priority="29" operator="equal">
      <formula>0</formula>
    </cfRule>
  </conditionalFormatting>
  <conditionalFormatting sqref="H425">
    <cfRule type="cellIs" dxfId="156" priority="28" operator="equal">
      <formula>0</formula>
    </cfRule>
  </conditionalFormatting>
  <conditionalFormatting sqref="H427">
    <cfRule type="cellIs" dxfId="155" priority="26" operator="equal">
      <formula>0</formula>
    </cfRule>
  </conditionalFormatting>
  <conditionalFormatting sqref="H385:H393">
    <cfRule type="cellIs" dxfId="154" priority="19" operator="equal">
      <formula>0</formula>
    </cfRule>
  </conditionalFormatting>
  <conditionalFormatting sqref="H380:H383">
    <cfRule type="cellIs" dxfId="153" priority="25" operator="equal">
      <formula>0</formula>
    </cfRule>
  </conditionalFormatting>
  <conditionalFormatting sqref="H380:H383">
    <cfRule type="cellIs" dxfId="152" priority="24" operator="equal">
      <formula>0</formula>
    </cfRule>
  </conditionalFormatting>
  <conditionalFormatting sqref="H381">
    <cfRule type="cellIs" dxfId="151" priority="23" operator="equal">
      <formula>0</formula>
    </cfRule>
  </conditionalFormatting>
  <conditionalFormatting sqref="H382">
    <cfRule type="cellIs" dxfId="150" priority="22" operator="equal">
      <formula>0</formula>
    </cfRule>
  </conditionalFormatting>
  <conditionalFormatting sqref="H383">
    <cfRule type="cellIs" dxfId="149" priority="21" operator="equal">
      <formula>0</formula>
    </cfRule>
  </conditionalFormatting>
  <conditionalFormatting sqref="H256:H258">
    <cfRule type="cellIs" dxfId="148" priority="15" operator="equal">
      <formula>0</formula>
    </cfRule>
  </conditionalFormatting>
  <conditionalFormatting sqref="H477:H478">
    <cfRule type="cellIs" dxfId="147" priority="14" operator="equal">
      <formula>0</formula>
    </cfRule>
  </conditionalFormatting>
  <conditionalFormatting sqref="C247:H250">
    <cfRule type="cellIs" dxfId="146" priority="1" operator="equal">
      <formula>0</formula>
    </cfRule>
  </conditionalFormatting>
  <conditionalFormatting sqref="H499">
    <cfRule type="cellIs" dxfId="145" priority="12" operator="equal">
      <formula>0</formula>
    </cfRule>
  </conditionalFormatting>
  <conditionalFormatting sqref="J175">
    <cfRule type="cellIs" dxfId="144" priority="11" operator="equal">
      <formula>0</formula>
    </cfRule>
  </conditionalFormatting>
  <conditionalFormatting sqref="C180:H185">
    <cfRule type="cellIs" dxfId="143" priority="10" operator="equal">
      <formula>0</formula>
    </cfRule>
  </conditionalFormatting>
  <conditionalFormatting sqref="C187:H192">
    <cfRule type="cellIs" dxfId="142" priority="9" operator="equal">
      <formula>0</formula>
    </cfRule>
  </conditionalFormatting>
  <conditionalFormatting sqref="C194:H198">
    <cfRule type="cellIs" dxfId="141" priority="8" operator="equal">
      <formula>0</formula>
    </cfRule>
  </conditionalFormatting>
  <conditionalFormatting sqref="C200:H204">
    <cfRule type="cellIs" dxfId="140" priority="7" operator="equal">
      <formula>0</formula>
    </cfRule>
  </conditionalFormatting>
  <conditionalFormatting sqref="C206:H210">
    <cfRule type="cellIs" dxfId="139" priority="6" operator="equal">
      <formula>0</formula>
    </cfRule>
  </conditionalFormatting>
  <conditionalFormatting sqref="C212:H213">
    <cfRule type="cellIs" dxfId="138" priority="5" operator="equal">
      <formula>0</formula>
    </cfRule>
  </conditionalFormatting>
  <conditionalFormatting sqref="C215:H218">
    <cfRule type="cellIs" dxfId="137" priority="4" operator="equal">
      <formula>0</formula>
    </cfRule>
  </conditionalFormatting>
  <conditionalFormatting sqref="C238:H243">
    <cfRule type="cellIs" dxfId="136" priority="2" operator="equal">
      <formula>0</formula>
    </cfRule>
  </conditionalFormatting>
  <pageMargins left="0.7" right="0.7" top="0.75" bottom="0.75" header="0.3" footer="0.3"/>
  <pageSetup orientation="portrait" r:id="rId1"/>
  <tableParts count="1">
    <tablePart r:id="rId2"/>
  </tableParts>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H151"/>
  <sheetViews>
    <sheetView showGridLines="0" zoomScale="115" zoomScaleNormal="115" workbookViewId="0">
      <selection activeCell="F16" sqref="F16"/>
    </sheetView>
  </sheetViews>
  <sheetFormatPr defaultColWidth="10.85546875" defaultRowHeight="12"/>
  <cols>
    <col min="1" max="1" width="8.28515625" style="303" bestFit="1" customWidth="1"/>
    <col min="2" max="2" width="58.7109375" style="303" customWidth="1"/>
    <col min="3" max="3" width="19.85546875" style="311" customWidth="1"/>
    <col min="4" max="4" width="19.140625" style="303" customWidth="1"/>
    <col min="5" max="5" width="17.85546875" style="143" bestFit="1" customWidth="1"/>
    <col min="6" max="7" width="37.140625" style="303" customWidth="1"/>
    <col min="8" max="8" width="29.140625" style="204" customWidth="1"/>
    <col min="9" max="9" width="27" style="204" bestFit="1" customWidth="1"/>
    <col min="10" max="10" width="28.42578125" style="204" customWidth="1"/>
    <col min="11" max="100" width="10.85546875" style="204"/>
    <col min="101" max="101" width="10.85546875" style="302"/>
    <col min="102" max="16384" width="10.85546875" style="303"/>
  </cols>
  <sheetData>
    <row r="1" spans="1:138" ht="20.100000000000001" customHeight="1">
      <c r="A1" s="300" t="s">
        <v>143</v>
      </c>
      <c r="B1" s="301" t="s">
        <v>1</v>
      </c>
      <c r="C1" s="206" t="s">
        <v>701</v>
      </c>
      <c r="D1" s="206" t="s">
        <v>700</v>
      </c>
      <c r="E1" s="206" t="s">
        <v>698</v>
      </c>
      <c r="F1" s="206" t="s">
        <v>716</v>
      </c>
      <c r="G1" s="206" t="s">
        <v>717</v>
      </c>
      <c r="H1" s="206" t="s">
        <v>699</v>
      </c>
      <c r="CT1" s="302"/>
      <c r="CU1" s="303"/>
      <c r="CV1" s="303"/>
      <c r="CW1" s="303"/>
    </row>
    <row r="2" spans="1:138">
      <c r="A2" s="299">
        <v>7</v>
      </c>
      <c r="B2" s="299" t="s">
        <v>53</v>
      </c>
      <c r="C2" s="304"/>
      <c r="D2" s="304"/>
      <c r="E2" s="304"/>
      <c r="F2" s="304"/>
      <c r="G2" s="304"/>
      <c r="H2" s="304"/>
      <c r="CT2" s="302"/>
      <c r="CU2" s="303"/>
      <c r="CV2" s="303"/>
      <c r="CW2" s="303"/>
    </row>
    <row r="3" spans="1:138">
      <c r="A3" s="305">
        <v>7.4</v>
      </c>
      <c r="B3" s="306" t="s">
        <v>101</v>
      </c>
      <c r="C3" s="307"/>
      <c r="D3" s="307"/>
      <c r="E3" s="307"/>
      <c r="F3" s="307"/>
      <c r="G3" s="307"/>
      <c r="H3" s="307"/>
      <c r="CT3" s="302"/>
      <c r="CU3" s="303"/>
      <c r="CV3" s="303"/>
      <c r="CW3" s="303"/>
    </row>
    <row r="4" spans="1:138">
      <c r="A4" s="251" t="s">
        <v>158</v>
      </c>
      <c r="B4" s="308" t="s">
        <v>478</v>
      </c>
      <c r="C4" s="406">
        <v>10795</v>
      </c>
      <c r="D4" s="406">
        <v>6998</v>
      </c>
      <c r="E4" s="406">
        <v>10496</v>
      </c>
      <c r="F4" s="406">
        <v>10640</v>
      </c>
      <c r="G4" s="406">
        <v>10640</v>
      </c>
      <c r="H4" s="406">
        <f>10000+10000</f>
        <v>20000</v>
      </c>
      <c r="CT4" s="302"/>
      <c r="CU4" s="303"/>
      <c r="CV4" s="303"/>
      <c r="CW4" s="303"/>
    </row>
    <row r="5" spans="1:138">
      <c r="A5" s="251" t="s">
        <v>159</v>
      </c>
      <c r="B5" s="308" t="s">
        <v>477</v>
      </c>
      <c r="C5" s="406">
        <v>1799</v>
      </c>
      <c r="D5" s="406">
        <v>1531</v>
      </c>
      <c r="E5" s="406">
        <v>2204</v>
      </c>
      <c r="F5" s="406">
        <v>2660</v>
      </c>
      <c r="G5" s="406">
        <v>2660</v>
      </c>
      <c r="H5" s="406">
        <v>3299.3333333333298</v>
      </c>
      <c r="CT5" s="302"/>
      <c r="CU5" s="303"/>
      <c r="CV5" s="303"/>
      <c r="CW5" s="303"/>
    </row>
    <row r="6" spans="1:138">
      <c r="A6" s="251"/>
      <c r="B6" s="309"/>
      <c r="C6" s="310"/>
      <c r="D6" s="310"/>
      <c r="F6" s="310"/>
      <c r="G6" s="310"/>
      <c r="CW6" s="204"/>
      <c r="CX6" s="204"/>
      <c r="CY6" s="204"/>
      <c r="CZ6" s="204"/>
      <c r="DA6" s="204"/>
      <c r="DB6" s="204"/>
      <c r="DC6" s="204"/>
      <c r="DD6" s="204"/>
      <c r="DE6" s="204"/>
      <c r="DF6" s="204"/>
      <c r="DG6" s="204"/>
      <c r="DH6" s="204"/>
      <c r="DI6" s="204"/>
      <c r="DJ6" s="204"/>
      <c r="DK6" s="204"/>
      <c r="DL6" s="204"/>
      <c r="DM6" s="204"/>
      <c r="DN6" s="204"/>
      <c r="DO6" s="204"/>
      <c r="DP6" s="204"/>
      <c r="DQ6" s="204"/>
      <c r="DR6" s="204"/>
      <c r="DS6" s="204"/>
      <c r="DT6" s="204"/>
      <c r="DU6" s="204"/>
      <c r="DV6" s="204"/>
      <c r="DW6" s="204"/>
      <c r="DX6" s="204"/>
      <c r="DY6" s="204"/>
      <c r="DZ6" s="204"/>
      <c r="EA6" s="204"/>
      <c r="EB6" s="204"/>
      <c r="EC6" s="204"/>
      <c r="ED6" s="204"/>
      <c r="EE6" s="204"/>
      <c r="EF6" s="204"/>
      <c r="EG6" s="204"/>
      <c r="EH6" s="204"/>
    </row>
    <row r="7" spans="1:138" s="204" customFormat="1">
      <c r="C7" s="206"/>
      <c r="E7" s="206"/>
      <c r="F7" s="382"/>
    </row>
    <row r="8" spans="1:138" s="204" customFormat="1">
      <c r="C8" s="206"/>
      <c r="D8" s="382"/>
      <c r="E8" s="206"/>
    </row>
    <row r="9" spans="1:138" s="204" customFormat="1">
      <c r="C9" s="206"/>
      <c r="E9" s="206"/>
    </row>
    <row r="10" spans="1:138" s="204" customFormat="1">
      <c r="C10" s="206"/>
      <c r="E10" s="206"/>
    </row>
    <row r="11" spans="1:138" s="204" customFormat="1">
      <c r="C11" s="206"/>
      <c r="D11" s="382"/>
      <c r="E11" s="383"/>
    </row>
    <row r="12" spans="1:138" s="204" customFormat="1">
      <c r="C12" s="206"/>
      <c r="D12" s="382"/>
      <c r="E12" s="206"/>
      <c r="G12" s="407"/>
    </row>
    <row r="13" spans="1:138" s="204" customFormat="1">
      <c r="C13" s="206"/>
      <c r="D13" s="382"/>
      <c r="E13" s="383"/>
    </row>
    <row r="14" spans="1:138" s="204" customFormat="1">
      <c r="C14" s="206"/>
      <c r="E14" s="206"/>
    </row>
    <row r="15" spans="1:138" s="204" customFormat="1">
      <c r="C15" s="206"/>
      <c r="E15" s="206"/>
    </row>
    <row r="16" spans="1:138" s="204" customFormat="1">
      <c r="C16" s="206"/>
      <c r="E16" s="206"/>
    </row>
    <row r="17" spans="3:5" s="204" customFormat="1">
      <c r="C17" s="206"/>
      <c r="E17" s="206"/>
    </row>
    <row r="18" spans="3:5" s="204" customFormat="1">
      <c r="C18" s="206"/>
      <c r="E18" s="206"/>
    </row>
    <row r="19" spans="3:5" s="204" customFormat="1">
      <c r="C19" s="206"/>
      <c r="E19" s="206"/>
    </row>
    <row r="20" spans="3:5" s="204" customFormat="1">
      <c r="C20" s="206"/>
      <c r="E20" s="206"/>
    </row>
    <row r="21" spans="3:5" s="204" customFormat="1">
      <c r="C21" s="206"/>
      <c r="E21" s="206"/>
    </row>
    <row r="22" spans="3:5" s="204" customFormat="1">
      <c r="C22" s="206"/>
      <c r="E22" s="206"/>
    </row>
    <row r="23" spans="3:5" s="204" customFormat="1">
      <c r="C23" s="206"/>
      <c r="E23" s="206"/>
    </row>
    <row r="24" spans="3:5" s="204" customFormat="1">
      <c r="C24" s="206"/>
      <c r="E24" s="206"/>
    </row>
    <row r="25" spans="3:5" s="204" customFormat="1">
      <c r="C25" s="206"/>
      <c r="E25" s="206"/>
    </row>
    <row r="26" spans="3:5" s="204" customFormat="1">
      <c r="C26" s="206"/>
      <c r="E26" s="206"/>
    </row>
    <row r="27" spans="3:5" s="204" customFormat="1">
      <c r="C27" s="206"/>
      <c r="E27" s="206"/>
    </row>
    <row r="28" spans="3:5" s="204" customFormat="1">
      <c r="C28" s="206"/>
      <c r="E28" s="206"/>
    </row>
    <row r="29" spans="3:5" s="204" customFormat="1">
      <c r="C29" s="206"/>
      <c r="E29" s="206"/>
    </row>
    <row r="30" spans="3:5" s="204" customFormat="1">
      <c r="C30" s="206"/>
      <c r="E30" s="206"/>
    </row>
    <row r="31" spans="3:5" s="204" customFormat="1">
      <c r="C31" s="206"/>
      <c r="E31" s="206"/>
    </row>
    <row r="32" spans="3:5" s="204" customFormat="1">
      <c r="C32" s="206"/>
      <c r="E32" s="206"/>
    </row>
    <row r="33" spans="3:5" s="204" customFormat="1">
      <c r="C33" s="206"/>
      <c r="E33" s="206"/>
    </row>
    <row r="34" spans="3:5" s="204" customFormat="1">
      <c r="C34" s="206"/>
      <c r="E34" s="206"/>
    </row>
    <row r="35" spans="3:5" s="204" customFormat="1">
      <c r="C35" s="206"/>
      <c r="E35" s="206"/>
    </row>
    <row r="36" spans="3:5" s="204" customFormat="1">
      <c r="C36" s="206"/>
      <c r="E36" s="206"/>
    </row>
    <row r="37" spans="3:5" s="204" customFormat="1">
      <c r="C37" s="206"/>
      <c r="E37" s="206"/>
    </row>
    <row r="38" spans="3:5" s="204" customFormat="1">
      <c r="C38" s="206"/>
      <c r="E38" s="206"/>
    </row>
    <row r="39" spans="3:5" s="204" customFormat="1">
      <c r="C39" s="206"/>
      <c r="E39" s="206"/>
    </row>
    <row r="40" spans="3:5" s="204" customFormat="1">
      <c r="C40" s="206"/>
      <c r="E40" s="206"/>
    </row>
    <row r="41" spans="3:5" s="204" customFormat="1">
      <c r="C41" s="206"/>
      <c r="E41" s="206"/>
    </row>
    <row r="42" spans="3:5" s="204" customFormat="1">
      <c r="C42" s="206"/>
      <c r="E42" s="206"/>
    </row>
    <row r="43" spans="3:5" s="204" customFormat="1">
      <c r="C43" s="206"/>
      <c r="E43" s="206"/>
    </row>
    <row r="44" spans="3:5" s="204" customFormat="1">
      <c r="C44" s="206"/>
      <c r="E44" s="206"/>
    </row>
    <row r="45" spans="3:5" s="204" customFormat="1">
      <c r="C45" s="206"/>
      <c r="E45" s="206"/>
    </row>
    <row r="46" spans="3:5" s="204" customFormat="1">
      <c r="C46" s="206"/>
      <c r="E46" s="206"/>
    </row>
    <row r="47" spans="3:5" s="204" customFormat="1">
      <c r="C47" s="206"/>
      <c r="E47" s="206"/>
    </row>
    <row r="48" spans="3:5" s="204" customFormat="1">
      <c r="C48" s="206"/>
      <c r="E48" s="206"/>
    </row>
    <row r="49" spans="3:5" s="204" customFormat="1">
      <c r="C49" s="206"/>
      <c r="E49" s="206"/>
    </row>
    <row r="50" spans="3:5" s="204" customFormat="1">
      <c r="C50" s="206"/>
      <c r="E50" s="206"/>
    </row>
    <row r="51" spans="3:5" s="204" customFormat="1">
      <c r="C51" s="206"/>
      <c r="E51" s="206"/>
    </row>
    <row r="52" spans="3:5" s="204" customFormat="1">
      <c r="C52" s="206"/>
      <c r="E52" s="206"/>
    </row>
    <row r="53" spans="3:5" s="204" customFormat="1">
      <c r="C53" s="206"/>
      <c r="E53" s="206"/>
    </row>
    <row r="54" spans="3:5" s="204" customFormat="1">
      <c r="C54" s="206"/>
      <c r="E54" s="206"/>
    </row>
    <row r="55" spans="3:5" s="204" customFormat="1">
      <c r="C55" s="206"/>
      <c r="E55" s="206"/>
    </row>
    <row r="56" spans="3:5" s="204" customFormat="1">
      <c r="C56" s="206"/>
      <c r="E56" s="206"/>
    </row>
    <row r="57" spans="3:5" s="204" customFormat="1">
      <c r="C57" s="206"/>
      <c r="E57" s="206"/>
    </row>
    <row r="58" spans="3:5" s="204" customFormat="1">
      <c r="C58" s="206"/>
      <c r="E58" s="206"/>
    </row>
    <row r="59" spans="3:5" s="204" customFormat="1">
      <c r="C59" s="206"/>
      <c r="E59" s="206"/>
    </row>
    <row r="60" spans="3:5" s="204" customFormat="1">
      <c r="C60" s="206"/>
      <c r="E60" s="206"/>
    </row>
    <row r="61" spans="3:5" s="204" customFormat="1">
      <c r="C61" s="206"/>
      <c r="E61" s="206"/>
    </row>
    <row r="62" spans="3:5" s="204" customFormat="1">
      <c r="C62" s="206"/>
      <c r="E62" s="206"/>
    </row>
    <row r="63" spans="3:5" s="204" customFormat="1">
      <c r="C63" s="206"/>
      <c r="E63" s="206"/>
    </row>
    <row r="64" spans="3:5" s="204" customFormat="1">
      <c r="C64" s="206"/>
      <c r="E64" s="206"/>
    </row>
    <row r="65" spans="3:5" s="204" customFormat="1">
      <c r="C65" s="206"/>
      <c r="E65" s="206"/>
    </row>
    <row r="66" spans="3:5" s="204" customFormat="1">
      <c r="C66" s="206"/>
      <c r="E66" s="206"/>
    </row>
    <row r="67" spans="3:5" s="204" customFormat="1">
      <c r="C67" s="206"/>
      <c r="E67" s="206"/>
    </row>
    <row r="68" spans="3:5" s="204" customFormat="1">
      <c r="C68" s="206"/>
      <c r="E68" s="206"/>
    </row>
    <row r="69" spans="3:5" s="204" customFormat="1">
      <c r="C69" s="206"/>
      <c r="E69" s="206"/>
    </row>
    <row r="70" spans="3:5" s="204" customFormat="1">
      <c r="C70" s="206"/>
      <c r="E70" s="206"/>
    </row>
    <row r="71" spans="3:5" s="204" customFormat="1">
      <c r="C71" s="206"/>
      <c r="E71" s="206"/>
    </row>
    <row r="72" spans="3:5" s="204" customFormat="1">
      <c r="C72" s="206"/>
      <c r="E72" s="206"/>
    </row>
    <row r="73" spans="3:5" s="204" customFormat="1">
      <c r="C73" s="206"/>
      <c r="E73" s="206"/>
    </row>
    <row r="74" spans="3:5" s="204" customFormat="1">
      <c r="C74" s="206"/>
      <c r="E74" s="206"/>
    </row>
    <row r="75" spans="3:5" s="204" customFormat="1">
      <c r="C75" s="206"/>
      <c r="E75" s="206"/>
    </row>
    <row r="76" spans="3:5" s="204" customFormat="1">
      <c r="C76" s="206"/>
      <c r="E76" s="206"/>
    </row>
    <row r="77" spans="3:5" s="204" customFormat="1">
      <c r="C77" s="206"/>
      <c r="E77" s="206"/>
    </row>
    <row r="78" spans="3:5" s="204" customFormat="1">
      <c r="C78" s="206"/>
      <c r="E78" s="206"/>
    </row>
    <row r="79" spans="3:5" s="204" customFormat="1">
      <c r="C79" s="206"/>
      <c r="E79" s="206"/>
    </row>
    <row r="80" spans="3:5" s="204" customFormat="1">
      <c r="C80" s="206"/>
      <c r="E80" s="206"/>
    </row>
    <row r="81" spans="3:5" s="204" customFormat="1">
      <c r="C81" s="206"/>
      <c r="E81" s="206"/>
    </row>
    <row r="82" spans="3:5" s="204" customFormat="1">
      <c r="C82" s="206"/>
      <c r="E82" s="206"/>
    </row>
    <row r="83" spans="3:5" s="204" customFormat="1">
      <c r="C83" s="206"/>
      <c r="E83" s="206"/>
    </row>
    <row r="84" spans="3:5" s="204" customFormat="1">
      <c r="C84" s="206"/>
      <c r="E84" s="206"/>
    </row>
    <row r="85" spans="3:5" s="204" customFormat="1">
      <c r="C85" s="206"/>
      <c r="E85" s="206"/>
    </row>
    <row r="86" spans="3:5" s="204" customFormat="1">
      <c r="C86" s="206"/>
      <c r="E86" s="206"/>
    </row>
    <row r="87" spans="3:5" s="204" customFormat="1">
      <c r="C87" s="206"/>
      <c r="E87" s="206"/>
    </row>
    <row r="88" spans="3:5" s="204" customFormat="1">
      <c r="C88" s="206"/>
      <c r="E88" s="206"/>
    </row>
    <row r="89" spans="3:5" s="204" customFormat="1">
      <c r="C89" s="206"/>
      <c r="E89" s="206"/>
    </row>
    <row r="90" spans="3:5" s="204" customFormat="1">
      <c r="C90" s="206"/>
      <c r="E90" s="206"/>
    </row>
    <row r="91" spans="3:5" s="204" customFormat="1">
      <c r="C91" s="206"/>
      <c r="E91" s="206"/>
    </row>
    <row r="92" spans="3:5" s="204" customFormat="1">
      <c r="C92" s="206"/>
      <c r="E92" s="206"/>
    </row>
    <row r="93" spans="3:5" s="204" customFormat="1">
      <c r="C93" s="206"/>
      <c r="E93" s="206"/>
    </row>
    <row r="94" spans="3:5" s="204" customFormat="1">
      <c r="C94" s="206"/>
      <c r="E94" s="206"/>
    </row>
    <row r="95" spans="3:5" s="204" customFormat="1">
      <c r="C95" s="206"/>
      <c r="E95" s="206"/>
    </row>
    <row r="96" spans="3:5" s="204" customFormat="1">
      <c r="C96" s="206"/>
      <c r="E96" s="206"/>
    </row>
    <row r="97" spans="3:5" s="204" customFormat="1">
      <c r="C97" s="206"/>
      <c r="E97" s="206"/>
    </row>
    <row r="98" spans="3:5" s="204" customFormat="1">
      <c r="C98" s="206"/>
      <c r="E98" s="206"/>
    </row>
    <row r="99" spans="3:5" s="204" customFormat="1">
      <c r="C99" s="206"/>
      <c r="E99" s="206"/>
    </row>
    <row r="100" spans="3:5" s="204" customFormat="1">
      <c r="C100" s="206"/>
      <c r="E100" s="206"/>
    </row>
    <row r="101" spans="3:5" s="204" customFormat="1">
      <c r="C101" s="206"/>
      <c r="E101" s="206"/>
    </row>
    <row r="102" spans="3:5" s="204" customFormat="1">
      <c r="C102" s="206"/>
      <c r="E102" s="206"/>
    </row>
    <row r="103" spans="3:5" s="204" customFormat="1">
      <c r="C103" s="206"/>
      <c r="E103" s="206"/>
    </row>
    <row r="104" spans="3:5" s="204" customFormat="1">
      <c r="C104" s="206"/>
      <c r="E104" s="206"/>
    </row>
    <row r="105" spans="3:5" s="204" customFormat="1">
      <c r="C105" s="206"/>
      <c r="E105" s="206"/>
    </row>
    <row r="106" spans="3:5" s="204" customFormat="1">
      <c r="C106" s="206"/>
      <c r="E106" s="206"/>
    </row>
    <row r="107" spans="3:5" s="204" customFormat="1">
      <c r="C107" s="206"/>
      <c r="E107" s="206"/>
    </row>
    <row r="108" spans="3:5" s="204" customFormat="1">
      <c r="C108" s="206"/>
      <c r="E108" s="206"/>
    </row>
    <row r="109" spans="3:5" s="204" customFormat="1">
      <c r="C109" s="206"/>
      <c r="E109" s="206"/>
    </row>
    <row r="110" spans="3:5" s="204" customFormat="1">
      <c r="C110" s="206"/>
      <c r="E110" s="206"/>
    </row>
    <row r="111" spans="3:5" s="204" customFormat="1">
      <c r="C111" s="206"/>
      <c r="E111" s="206"/>
    </row>
    <row r="112" spans="3:5" s="204" customFormat="1">
      <c r="C112" s="206"/>
      <c r="E112" s="206"/>
    </row>
    <row r="113" spans="3:5" s="204" customFormat="1">
      <c r="C113" s="206"/>
      <c r="E113" s="206"/>
    </row>
    <row r="114" spans="3:5" s="204" customFormat="1">
      <c r="C114" s="206"/>
      <c r="E114" s="206"/>
    </row>
    <row r="115" spans="3:5" s="204" customFormat="1">
      <c r="C115" s="206"/>
      <c r="E115" s="206"/>
    </row>
    <row r="116" spans="3:5" s="204" customFormat="1">
      <c r="C116" s="206"/>
      <c r="E116" s="206"/>
    </row>
    <row r="117" spans="3:5" s="204" customFormat="1">
      <c r="C117" s="206"/>
      <c r="E117" s="206"/>
    </row>
    <row r="118" spans="3:5" s="204" customFormat="1">
      <c r="C118" s="206"/>
      <c r="E118" s="206"/>
    </row>
    <row r="119" spans="3:5" s="204" customFormat="1">
      <c r="C119" s="206"/>
      <c r="E119" s="206"/>
    </row>
    <row r="120" spans="3:5" s="204" customFormat="1">
      <c r="C120" s="206"/>
      <c r="E120" s="206"/>
    </row>
    <row r="121" spans="3:5" s="204" customFormat="1">
      <c r="C121" s="206"/>
      <c r="E121" s="206"/>
    </row>
    <row r="122" spans="3:5" s="204" customFormat="1">
      <c r="C122" s="206"/>
      <c r="E122" s="206"/>
    </row>
    <row r="123" spans="3:5" s="204" customFormat="1">
      <c r="C123" s="206"/>
      <c r="E123" s="206"/>
    </row>
    <row r="124" spans="3:5" s="204" customFormat="1">
      <c r="C124" s="206"/>
      <c r="E124" s="206"/>
    </row>
    <row r="125" spans="3:5" s="204" customFormat="1">
      <c r="C125" s="206"/>
      <c r="E125" s="206"/>
    </row>
    <row r="126" spans="3:5" s="204" customFormat="1">
      <c r="C126" s="206"/>
      <c r="E126" s="206"/>
    </row>
    <row r="127" spans="3:5" s="204" customFormat="1">
      <c r="C127" s="206"/>
      <c r="E127" s="206"/>
    </row>
    <row r="128" spans="3:5" s="204" customFormat="1">
      <c r="C128" s="206"/>
      <c r="E128" s="206"/>
    </row>
    <row r="129" spans="3:5" s="204" customFormat="1">
      <c r="C129" s="206"/>
      <c r="E129" s="206"/>
    </row>
    <row r="130" spans="3:5" s="204" customFormat="1">
      <c r="C130" s="206"/>
      <c r="E130" s="206"/>
    </row>
    <row r="131" spans="3:5" s="204" customFormat="1">
      <c r="C131" s="206"/>
      <c r="E131" s="206"/>
    </row>
    <row r="132" spans="3:5" s="204" customFormat="1">
      <c r="C132" s="206"/>
      <c r="E132" s="206"/>
    </row>
    <row r="133" spans="3:5" s="204" customFormat="1">
      <c r="C133" s="206"/>
      <c r="E133" s="206"/>
    </row>
    <row r="134" spans="3:5" s="204" customFormat="1">
      <c r="C134" s="206"/>
      <c r="E134" s="206"/>
    </row>
    <row r="135" spans="3:5" s="204" customFormat="1">
      <c r="C135" s="206"/>
      <c r="E135" s="206"/>
    </row>
    <row r="136" spans="3:5" s="204" customFormat="1">
      <c r="C136" s="206"/>
      <c r="E136" s="206"/>
    </row>
    <row r="137" spans="3:5" s="204" customFormat="1">
      <c r="C137" s="206"/>
      <c r="E137" s="206"/>
    </row>
    <row r="138" spans="3:5" s="204" customFormat="1">
      <c r="C138" s="206"/>
      <c r="E138" s="206"/>
    </row>
    <row r="139" spans="3:5" s="204" customFormat="1">
      <c r="C139" s="206"/>
      <c r="E139" s="206"/>
    </row>
    <row r="140" spans="3:5" s="204" customFormat="1">
      <c r="C140" s="206"/>
      <c r="E140" s="206"/>
    </row>
    <row r="141" spans="3:5" s="204" customFormat="1">
      <c r="C141" s="206"/>
      <c r="E141" s="206"/>
    </row>
    <row r="142" spans="3:5" s="204" customFormat="1">
      <c r="C142" s="206"/>
      <c r="E142" s="206"/>
    </row>
    <row r="143" spans="3:5" s="204" customFormat="1">
      <c r="C143" s="206"/>
      <c r="E143" s="206"/>
    </row>
    <row r="144" spans="3:5" s="204" customFormat="1">
      <c r="C144" s="206"/>
      <c r="E144" s="206"/>
    </row>
    <row r="145" spans="3:5" s="204" customFormat="1">
      <c r="C145" s="206"/>
      <c r="E145" s="206"/>
    </row>
    <row r="146" spans="3:5" s="204" customFormat="1">
      <c r="C146" s="206"/>
      <c r="E146" s="206"/>
    </row>
    <row r="147" spans="3:5" s="204" customFormat="1">
      <c r="C147" s="206"/>
      <c r="E147" s="206"/>
    </row>
    <row r="148" spans="3:5" s="204" customFormat="1">
      <c r="C148" s="206"/>
      <c r="E148" s="206"/>
    </row>
    <row r="149" spans="3:5" s="204" customFormat="1">
      <c r="C149" s="206"/>
      <c r="E149" s="206"/>
    </row>
    <row r="150" spans="3:5" s="204" customFormat="1">
      <c r="C150" s="206"/>
      <c r="E150" s="206"/>
    </row>
    <row r="151" spans="3:5" s="204" customFormat="1">
      <c r="C151" s="206"/>
      <c r="E151" s="206"/>
    </row>
  </sheetData>
  <sheetProtection algorithmName="SHA-512" hashValue="P4M7cyRuqp+NRm676t7mh3/6sZWD/5UbJcxH/LjdCnFtqLAjrVUBdvucnDFembaTe5Awp/UAeHFRT8sCjUmBeA==" saltValue="+yRx402MH1cmmlUaNtC2gQ==" spinCount="100000" sheet="1" objects="1" scenarios="1"/>
  <conditionalFormatting sqref="A6">
    <cfRule type="containsText" dxfId="135" priority="708" operator="containsText" text="FAIL">
      <formula>NOT(ISERROR(SEARCH("FAIL",A6)))</formula>
    </cfRule>
    <cfRule type="containsText" dxfId="134" priority="709" operator="containsText" text="No">
      <formula>NOT(ISERROR(SEARCH("No",A6)))</formula>
    </cfRule>
  </conditionalFormatting>
  <conditionalFormatting sqref="B1">
    <cfRule type="containsText" dxfId="133" priority="487" operator="containsText" text="FAIL">
      <formula>NOT(ISERROR(SEARCH("FAIL",B1)))</formula>
    </cfRule>
  </conditionalFormatting>
  <conditionalFormatting sqref="B3 A2:B2">
    <cfRule type="containsText" dxfId="132" priority="188" operator="containsText" text="FAIL">
      <formula>NOT(ISERROR(SEARCH("FAIL",A2)))</formula>
    </cfRule>
    <cfRule type="containsText" dxfId="131" priority="189" operator="containsText" text="No">
      <formula>NOT(ISERROR(SEARCH("No",A2)))</formula>
    </cfRule>
  </conditionalFormatting>
  <conditionalFormatting sqref="A3">
    <cfRule type="containsText" dxfId="130" priority="186" operator="containsText" text="FAIL">
      <formula>NOT(ISERROR(SEARCH("FAIL",A3)))</formula>
    </cfRule>
    <cfRule type="containsText" dxfId="129" priority="187" operator="containsText" text="No">
      <formula>NOT(ISERROR(SEARCH("No",A3)))</formula>
    </cfRule>
  </conditionalFormatting>
  <conditionalFormatting sqref="B4:B5">
    <cfRule type="containsText" dxfId="128" priority="179" operator="containsText" text="FAIL">
      <formula>NOT(ISERROR(SEARCH("FAIL",B4)))</formula>
    </cfRule>
    <cfRule type="containsText" dxfId="127" priority="180" operator="containsText" text="No">
      <formula>NOT(ISERROR(SEARCH("No",B4)))</formula>
    </cfRule>
  </conditionalFormatting>
  <conditionalFormatting sqref="A4:A5">
    <cfRule type="containsText" dxfId="126" priority="177" operator="containsText" text="FAIL">
      <formula>NOT(ISERROR(SEARCH("FAIL",A4)))</formula>
    </cfRule>
    <cfRule type="containsText" dxfId="125" priority="178" operator="containsText" text="No">
      <formula>NOT(ISERROR(SEARCH("No",A4)))</formula>
    </cfRule>
  </conditionalFormatting>
  <conditionalFormatting sqref="C2:C3">
    <cfRule type="containsText" dxfId="124" priority="164" operator="containsText" text="FAIL">
      <formula>NOT(ISERROR(SEARCH("FAIL",C2)))</formula>
    </cfRule>
    <cfRule type="containsText" dxfId="123" priority="165" operator="containsText" text="No">
      <formula>NOT(ISERROR(SEARCH("No",C2)))</formula>
    </cfRule>
  </conditionalFormatting>
  <conditionalFormatting sqref="D2:H3">
    <cfRule type="containsText" dxfId="122" priority="1" operator="containsText" text="FAIL">
      <formula>NOT(ISERROR(SEARCH("FAIL",D2)))</formula>
    </cfRule>
    <cfRule type="containsText" dxfId="121" priority="2" operator="containsText" text="No">
      <formula>NOT(ISERROR(SEARCH("No",D2)))</formula>
    </cfRule>
  </conditionalFormatting>
  <pageMargins left="0.75" right="0.75" top="1" bottom="1" header="0.5" footer="0.5"/>
  <pageSetup orientation="portrait" horizontalDpi="4294967292" verticalDpi="4294967292" r:id="rId1"/>
  <tableParts count="1">
    <tablePart r:id="rId2"/>
  </tableParts>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4"/>
  <sheetViews>
    <sheetView showGridLines="0" zoomScale="115" zoomScaleNormal="115" workbookViewId="0">
      <selection activeCell="F8" sqref="F8"/>
    </sheetView>
  </sheetViews>
  <sheetFormatPr defaultColWidth="10.85546875" defaultRowHeight="12"/>
  <cols>
    <col min="1" max="1" width="10.5703125" style="313" bestFit="1" customWidth="1"/>
    <col min="2" max="2" width="66.7109375" style="172" customWidth="1"/>
    <col min="3" max="3" width="21.85546875" style="204" bestFit="1" customWidth="1"/>
    <col min="4" max="4" width="23.7109375" style="204" bestFit="1" customWidth="1"/>
    <col min="5" max="5" width="23.85546875" style="204" bestFit="1" customWidth="1"/>
    <col min="6" max="6" width="41.7109375" style="455" bestFit="1" customWidth="1"/>
    <col min="7" max="7" width="41.7109375" style="204" bestFit="1" customWidth="1"/>
    <col min="8" max="8" width="25.7109375" style="204" bestFit="1" customWidth="1"/>
    <col min="9" max="9" width="10.85546875" style="455"/>
    <col min="10" max="10" width="13.7109375" style="204" customWidth="1"/>
    <col min="11" max="11" width="31.5703125" style="204" bestFit="1" customWidth="1"/>
    <col min="12" max="12" width="27.7109375" style="204" bestFit="1" customWidth="1"/>
    <col min="13" max="16384" width="10.85546875" style="204"/>
  </cols>
  <sheetData>
    <row r="1" spans="1:10" s="312" customFormat="1">
      <c r="A1" s="172" t="s">
        <v>0</v>
      </c>
      <c r="B1" s="206" t="s">
        <v>1</v>
      </c>
      <c r="C1" s="206" t="s">
        <v>701</v>
      </c>
      <c r="D1" s="206" t="s">
        <v>700</v>
      </c>
      <c r="E1" s="206" t="s">
        <v>698</v>
      </c>
      <c r="F1" s="206" t="s">
        <v>716</v>
      </c>
      <c r="G1" s="206" t="s">
        <v>717</v>
      </c>
      <c r="H1" s="206" t="s">
        <v>699</v>
      </c>
    </row>
    <row r="2" spans="1:10">
      <c r="A2" s="408">
        <v>3</v>
      </c>
      <c r="B2" s="392" t="s">
        <v>2</v>
      </c>
      <c r="C2" s="409"/>
      <c r="D2" s="409"/>
      <c r="E2" s="409"/>
      <c r="F2" s="409"/>
      <c r="G2" s="409"/>
      <c r="H2" s="409"/>
      <c r="I2" s="204"/>
    </row>
    <row r="3" spans="1:10">
      <c r="A3" s="410"/>
      <c r="B3" s="393" t="s">
        <v>714</v>
      </c>
      <c r="C3" s="411">
        <f>AVERAGE(C9,C19)</f>
        <v>0.99518408324552166</v>
      </c>
      <c r="D3" s="411">
        <f>AVERAGE(D9,D19)</f>
        <v>0.99160531305383703</v>
      </c>
      <c r="E3" s="411">
        <f>AVERAGE(E9,E19)</f>
        <v>0.86619640834260148</v>
      </c>
      <c r="F3" s="411">
        <f t="shared" ref="F3:H3" si="0">AVERAGE(F9,F19)</f>
        <v>0.96755286090621706</v>
      </c>
      <c r="G3" s="411">
        <f t="shared" si="0"/>
        <v>0.96755286090621706</v>
      </c>
      <c r="H3" s="411">
        <f t="shared" si="0"/>
        <v>0.987881981032666</v>
      </c>
      <c r="I3" s="204"/>
    </row>
    <row r="4" spans="1:10">
      <c r="A4" s="412">
        <v>3.1</v>
      </c>
      <c r="B4" s="413" t="s">
        <v>503</v>
      </c>
      <c r="C4" s="414"/>
      <c r="D4" s="414"/>
      <c r="E4" s="414"/>
      <c r="F4" s="414"/>
      <c r="G4" s="414"/>
      <c r="H4" s="414"/>
      <c r="I4" s="204"/>
    </row>
    <row r="5" spans="1:10">
      <c r="A5" s="415" t="s">
        <v>3</v>
      </c>
      <c r="B5" s="416" t="s">
        <v>206</v>
      </c>
      <c r="C5" s="417" t="s">
        <v>131</v>
      </c>
      <c r="D5" s="417" t="s">
        <v>131</v>
      </c>
      <c r="E5" s="417" t="s">
        <v>131</v>
      </c>
      <c r="F5" s="417" t="s">
        <v>131</v>
      </c>
      <c r="G5" s="417" t="s">
        <v>131</v>
      </c>
      <c r="H5" s="417" t="s">
        <v>131</v>
      </c>
      <c r="I5" s="204"/>
    </row>
    <row r="6" spans="1:10">
      <c r="A6" s="418" t="s">
        <v>4</v>
      </c>
      <c r="B6" s="418" t="s">
        <v>207</v>
      </c>
      <c r="C6" s="419"/>
      <c r="D6" s="419"/>
      <c r="E6" s="419"/>
      <c r="F6" s="419"/>
      <c r="G6" s="419"/>
      <c r="H6" s="419"/>
      <c r="I6" s="204"/>
    </row>
    <row r="7" spans="1:10">
      <c r="A7" s="420" t="s">
        <v>504</v>
      </c>
      <c r="B7" s="420" t="s">
        <v>178</v>
      </c>
      <c r="C7" s="421">
        <v>0.99546998867497172</v>
      </c>
      <c r="D7" s="421">
        <v>0.9977349943374858</v>
      </c>
      <c r="E7" s="421">
        <v>0.97961494903737256</v>
      </c>
      <c r="F7" s="421">
        <v>0.99320498301245752</v>
      </c>
      <c r="G7" s="421">
        <v>0.99320498301245752</v>
      </c>
      <c r="H7" s="421">
        <v>0.96375990939977352</v>
      </c>
      <c r="I7" s="204"/>
    </row>
    <row r="8" spans="1:10">
      <c r="A8" s="420" t="s">
        <v>505</v>
      </c>
      <c r="B8" s="420" t="s">
        <v>179</v>
      </c>
      <c r="C8" s="421">
        <v>0.99507389162561577</v>
      </c>
      <c r="D8" s="421">
        <v>0.99802955665024629</v>
      </c>
      <c r="E8" s="421">
        <v>0.99014778325123154</v>
      </c>
      <c r="F8" s="421">
        <v>0.98522167487684731</v>
      </c>
      <c r="G8" s="421">
        <v>0.98522167487684731</v>
      </c>
      <c r="H8" s="421">
        <v>0.98620689655172411</v>
      </c>
      <c r="I8" s="204"/>
    </row>
    <row r="9" spans="1:10">
      <c r="A9" s="420" t="s">
        <v>506</v>
      </c>
      <c r="B9" s="420" t="s">
        <v>715</v>
      </c>
      <c r="C9" s="421">
        <v>0.99525816649104315</v>
      </c>
      <c r="D9" s="421">
        <v>0.99789251844046367</v>
      </c>
      <c r="E9" s="421">
        <v>0.98524762908324548</v>
      </c>
      <c r="F9" s="421">
        <v>0.98893572181243417</v>
      </c>
      <c r="G9" s="421">
        <v>0.98893572181243417</v>
      </c>
      <c r="H9" s="421">
        <v>0.97576396206533189</v>
      </c>
      <c r="I9" s="204"/>
    </row>
    <row r="10" spans="1:10">
      <c r="A10" s="418" t="s">
        <v>5</v>
      </c>
      <c r="B10" s="418" t="s">
        <v>209</v>
      </c>
      <c r="C10" s="419"/>
      <c r="D10" s="419"/>
      <c r="E10" s="419"/>
      <c r="F10" s="419"/>
      <c r="G10" s="419"/>
      <c r="H10" s="419"/>
      <c r="I10" s="204"/>
    </row>
    <row r="11" spans="1:10">
      <c r="A11" s="420" t="s">
        <v>507</v>
      </c>
      <c r="B11" s="420" t="s">
        <v>210</v>
      </c>
      <c r="C11" s="422">
        <v>0.99511897498474677</v>
      </c>
      <c r="D11" s="422">
        <v>0.99877974374618672</v>
      </c>
      <c r="E11" s="422">
        <v>0.99023794996949355</v>
      </c>
      <c r="F11" s="422">
        <v>0.98840756558877363</v>
      </c>
      <c r="G11" s="422">
        <v>0.98840756558877363</v>
      </c>
      <c r="H11" s="422">
        <v>0.97620500305064062</v>
      </c>
      <c r="I11" s="204"/>
    </row>
    <row r="12" spans="1:10">
      <c r="A12" s="420" t="s">
        <v>508</v>
      </c>
      <c r="B12" s="420" t="s">
        <v>211</v>
      </c>
      <c r="C12" s="422">
        <v>1</v>
      </c>
      <c r="D12" s="422">
        <v>0.99145299145299148</v>
      </c>
      <c r="E12" s="422">
        <v>0.99145299145299148</v>
      </c>
      <c r="F12" s="422">
        <v>1</v>
      </c>
      <c r="G12" s="422">
        <v>1</v>
      </c>
      <c r="H12" s="422">
        <v>0.98290598290598286</v>
      </c>
      <c r="I12" s="204"/>
    </row>
    <row r="13" spans="1:10">
      <c r="A13" s="420" t="s">
        <v>509</v>
      </c>
      <c r="B13" s="420" t="s">
        <v>212</v>
      </c>
      <c r="C13" s="422">
        <v>0.99295774647887325</v>
      </c>
      <c r="D13" s="422">
        <v>0.99295774647887325</v>
      </c>
      <c r="E13" s="422">
        <v>0.92253521126760563</v>
      </c>
      <c r="F13" s="422">
        <v>0.9859154929577465</v>
      </c>
      <c r="G13" s="422">
        <v>0.9859154929577465</v>
      </c>
      <c r="H13" s="422">
        <v>0.96478873239436624</v>
      </c>
      <c r="I13" s="204"/>
      <c r="J13" s="391"/>
    </row>
    <row r="14" spans="1:10">
      <c r="A14" s="416" t="s">
        <v>6</v>
      </c>
      <c r="B14" s="416" t="s">
        <v>213</v>
      </c>
      <c r="C14" s="423" t="s">
        <v>380</v>
      </c>
      <c r="D14" s="423" t="s">
        <v>380</v>
      </c>
      <c r="E14" s="423" t="s">
        <v>380</v>
      </c>
      <c r="F14" s="423" t="s">
        <v>380</v>
      </c>
      <c r="G14" s="423" t="s">
        <v>380</v>
      </c>
      <c r="H14" s="423" t="s">
        <v>380</v>
      </c>
      <c r="I14" s="204"/>
      <c r="J14" s="391"/>
    </row>
    <row r="15" spans="1:10">
      <c r="A15" s="416" t="s">
        <v>7</v>
      </c>
      <c r="B15" s="416" t="s">
        <v>214</v>
      </c>
      <c r="C15" s="423" t="s">
        <v>380</v>
      </c>
      <c r="D15" s="423" t="s">
        <v>380</v>
      </c>
      <c r="E15" s="423" t="s">
        <v>380</v>
      </c>
      <c r="F15" s="423" t="s">
        <v>380</v>
      </c>
      <c r="G15" s="423" t="s">
        <v>380</v>
      </c>
      <c r="H15" s="423" t="s">
        <v>380</v>
      </c>
      <c r="I15" s="204"/>
    </row>
    <row r="16" spans="1:10">
      <c r="A16" s="416" t="s">
        <v>8</v>
      </c>
      <c r="B16" s="416" t="s">
        <v>215</v>
      </c>
      <c r="C16" s="423" t="s">
        <v>380</v>
      </c>
      <c r="D16" s="423" t="s">
        <v>380</v>
      </c>
      <c r="E16" s="423" t="s">
        <v>380</v>
      </c>
      <c r="F16" s="423" t="s">
        <v>380</v>
      </c>
      <c r="G16" s="423" t="s">
        <v>380</v>
      </c>
      <c r="H16" s="423" t="s">
        <v>380</v>
      </c>
      <c r="I16" s="204"/>
    </row>
    <row r="17" spans="1:9">
      <c r="A17" s="416" t="s">
        <v>472</v>
      </c>
      <c r="B17" s="416" t="s">
        <v>216</v>
      </c>
      <c r="C17" s="423" t="s">
        <v>380</v>
      </c>
      <c r="D17" s="423" t="s">
        <v>380</v>
      </c>
      <c r="E17" s="423" t="s">
        <v>380</v>
      </c>
      <c r="F17" s="423" t="s">
        <v>380</v>
      </c>
      <c r="G17" s="423" t="s">
        <v>380</v>
      </c>
      <c r="H17" s="423" t="s">
        <v>380</v>
      </c>
      <c r="I17" s="204"/>
    </row>
    <row r="18" spans="1:9">
      <c r="A18" s="418">
        <v>3.2</v>
      </c>
      <c r="B18" s="418" t="s">
        <v>677</v>
      </c>
      <c r="C18" s="419"/>
      <c r="D18" s="419"/>
      <c r="E18" s="419"/>
      <c r="F18" s="419"/>
      <c r="G18" s="419"/>
      <c r="H18" s="419"/>
      <c r="I18" s="204"/>
    </row>
    <row r="19" spans="1:9">
      <c r="A19" s="416" t="s">
        <v>678</v>
      </c>
      <c r="B19" s="416" t="s">
        <v>679</v>
      </c>
      <c r="C19" s="421">
        <v>0.99511000000000005</v>
      </c>
      <c r="D19" s="421">
        <v>0.9853181076672104</v>
      </c>
      <c r="E19" s="421">
        <v>0.74714518760195758</v>
      </c>
      <c r="F19" s="421">
        <v>0.94616999999999996</v>
      </c>
      <c r="G19" s="421">
        <v>0.94616999999999996</v>
      </c>
      <c r="H19" s="421">
        <v>1</v>
      </c>
      <c r="I19" s="204"/>
    </row>
    <row r="20" spans="1:9" hidden="1">
      <c r="A20" s="416" t="s">
        <v>680</v>
      </c>
      <c r="B20" s="416" t="s">
        <v>681</v>
      </c>
      <c r="C20" s="423">
        <v>0</v>
      </c>
      <c r="D20" s="423">
        <v>0</v>
      </c>
      <c r="E20" s="423">
        <v>0</v>
      </c>
      <c r="F20" s="423">
        <v>0</v>
      </c>
      <c r="G20" s="423">
        <v>0</v>
      </c>
      <c r="H20" s="423">
        <v>0</v>
      </c>
      <c r="I20" s="204"/>
    </row>
    <row r="21" spans="1:9">
      <c r="A21" s="424">
        <v>3.4</v>
      </c>
      <c r="B21" s="424" t="s">
        <v>510</v>
      </c>
      <c r="C21" s="425"/>
      <c r="D21" s="425"/>
      <c r="E21" s="425"/>
      <c r="F21" s="425"/>
      <c r="G21" s="425"/>
      <c r="H21" s="425"/>
      <c r="I21" s="204"/>
    </row>
    <row r="22" spans="1:9">
      <c r="A22" s="426" t="s">
        <v>474</v>
      </c>
      <c r="B22" s="427" t="s">
        <v>473</v>
      </c>
      <c r="C22" s="428" t="s">
        <v>131</v>
      </c>
      <c r="D22" s="428" t="s">
        <v>379</v>
      </c>
      <c r="E22" s="428" t="s">
        <v>379</v>
      </c>
      <c r="F22" s="428" t="s">
        <v>131</v>
      </c>
      <c r="G22" s="428" t="s">
        <v>131</v>
      </c>
      <c r="H22" s="428" t="s">
        <v>131</v>
      </c>
      <c r="I22" s="204"/>
    </row>
    <row r="23" spans="1:9">
      <c r="A23" s="424">
        <v>3.5</v>
      </c>
      <c r="B23" s="424" t="s">
        <v>511</v>
      </c>
      <c r="C23" s="425"/>
      <c r="D23" s="425"/>
      <c r="E23" s="425"/>
      <c r="F23" s="425"/>
      <c r="G23" s="425"/>
      <c r="H23" s="425"/>
      <c r="I23" s="204"/>
    </row>
    <row r="24" spans="1:9">
      <c r="A24" s="426" t="s">
        <v>475</v>
      </c>
      <c r="B24" s="427" t="s">
        <v>512</v>
      </c>
      <c r="C24" s="428" t="s">
        <v>131</v>
      </c>
      <c r="D24" s="428" t="s">
        <v>379</v>
      </c>
      <c r="E24" s="428" t="s">
        <v>379</v>
      </c>
      <c r="F24" s="428" t="s">
        <v>131</v>
      </c>
      <c r="G24" s="428" t="s">
        <v>131</v>
      </c>
      <c r="H24" s="428" t="s">
        <v>131</v>
      </c>
      <c r="I24" s="204"/>
    </row>
    <row r="25" spans="1:9">
      <c r="A25" s="426" t="s">
        <v>476</v>
      </c>
      <c r="B25" s="427" t="s">
        <v>513</v>
      </c>
      <c r="C25" s="428" t="s">
        <v>379</v>
      </c>
      <c r="D25" s="428" t="s">
        <v>379</v>
      </c>
      <c r="E25" s="428" t="s">
        <v>379</v>
      </c>
      <c r="F25" s="428" t="s">
        <v>379</v>
      </c>
      <c r="G25" s="428" t="s">
        <v>379</v>
      </c>
      <c r="H25" s="428" t="s">
        <v>379</v>
      </c>
      <c r="I25" s="204"/>
    </row>
    <row r="26" spans="1:9">
      <c r="A26" s="429">
        <v>3.6</v>
      </c>
      <c r="B26" s="429" t="s">
        <v>217</v>
      </c>
      <c r="C26" s="430"/>
      <c r="D26" s="430"/>
      <c r="E26" s="430"/>
      <c r="F26" s="430"/>
      <c r="G26" s="430"/>
      <c r="H26" s="430"/>
      <c r="I26" s="204"/>
    </row>
    <row r="27" spans="1:9">
      <c r="A27" s="413" t="s">
        <v>514</v>
      </c>
      <c r="B27" s="413" t="s">
        <v>218</v>
      </c>
      <c r="C27" s="431">
        <v>1</v>
      </c>
      <c r="D27" s="431">
        <v>1</v>
      </c>
      <c r="E27" s="431">
        <v>1</v>
      </c>
      <c r="F27" s="431">
        <v>1</v>
      </c>
      <c r="G27" s="431">
        <v>1</v>
      </c>
      <c r="H27" s="431">
        <v>1</v>
      </c>
      <c r="I27" s="204"/>
    </row>
    <row r="28" spans="1:9">
      <c r="A28" s="418" t="s">
        <v>515</v>
      </c>
      <c r="B28" s="418" t="s">
        <v>185</v>
      </c>
      <c r="C28" s="432">
        <v>1</v>
      </c>
      <c r="D28" s="432">
        <v>1</v>
      </c>
      <c r="E28" s="432">
        <v>1</v>
      </c>
      <c r="F28" s="432">
        <v>1</v>
      </c>
      <c r="G28" s="432">
        <v>1</v>
      </c>
      <c r="H28" s="432">
        <v>1</v>
      </c>
      <c r="I28" s="204"/>
    </row>
    <row r="29" spans="1:9">
      <c r="A29" s="420" t="s">
        <v>516</v>
      </c>
      <c r="B29" s="420" t="s">
        <v>219</v>
      </c>
      <c r="C29" s="433">
        <v>1</v>
      </c>
      <c r="D29" s="433">
        <v>1</v>
      </c>
      <c r="E29" s="433">
        <v>1</v>
      </c>
      <c r="F29" s="433">
        <v>1</v>
      </c>
      <c r="G29" s="433">
        <v>1</v>
      </c>
      <c r="H29" s="433">
        <v>1</v>
      </c>
      <c r="I29" s="204"/>
    </row>
    <row r="30" spans="1:9">
      <c r="A30" s="420" t="s">
        <v>517</v>
      </c>
      <c r="B30" s="420" t="s">
        <v>220</v>
      </c>
      <c r="C30" s="433">
        <v>1</v>
      </c>
      <c r="D30" s="433">
        <v>1</v>
      </c>
      <c r="E30" s="433">
        <v>1</v>
      </c>
      <c r="F30" s="433">
        <v>1</v>
      </c>
      <c r="G30" s="433">
        <v>1</v>
      </c>
      <c r="H30" s="433">
        <v>1</v>
      </c>
      <c r="I30" s="204"/>
    </row>
    <row r="31" spans="1:9">
      <c r="A31" s="420" t="s">
        <v>518</v>
      </c>
      <c r="B31" s="420" t="s">
        <v>221</v>
      </c>
      <c r="C31" s="433">
        <v>1</v>
      </c>
      <c r="D31" s="433">
        <v>1</v>
      </c>
      <c r="E31" s="433">
        <v>1</v>
      </c>
      <c r="F31" s="433">
        <v>1</v>
      </c>
      <c r="G31" s="433">
        <v>1</v>
      </c>
      <c r="H31" s="433">
        <v>1</v>
      </c>
      <c r="I31" s="204"/>
    </row>
    <row r="32" spans="1:9">
      <c r="A32" s="420" t="s">
        <v>519</v>
      </c>
      <c r="B32" s="420" t="s">
        <v>222</v>
      </c>
      <c r="C32" s="433">
        <v>1</v>
      </c>
      <c r="D32" s="433">
        <v>1</v>
      </c>
      <c r="E32" s="433">
        <v>1</v>
      </c>
      <c r="F32" s="433">
        <v>1</v>
      </c>
      <c r="G32" s="433">
        <v>1</v>
      </c>
      <c r="H32" s="433">
        <v>1</v>
      </c>
      <c r="I32" s="204"/>
    </row>
    <row r="33" spans="1:9">
      <c r="A33" s="420" t="s">
        <v>520</v>
      </c>
      <c r="B33" s="420" t="s">
        <v>223</v>
      </c>
      <c r="C33" s="433">
        <v>1</v>
      </c>
      <c r="D33" s="433">
        <v>1</v>
      </c>
      <c r="E33" s="433">
        <v>1</v>
      </c>
      <c r="F33" s="433">
        <v>1</v>
      </c>
      <c r="G33" s="433">
        <v>1</v>
      </c>
      <c r="H33" s="433">
        <v>1</v>
      </c>
      <c r="I33" s="204"/>
    </row>
    <row r="34" spans="1:9">
      <c r="A34" s="420" t="s">
        <v>521</v>
      </c>
      <c r="B34" s="420" t="s">
        <v>224</v>
      </c>
      <c r="C34" s="433">
        <v>1</v>
      </c>
      <c r="D34" s="433">
        <v>1</v>
      </c>
      <c r="E34" s="433">
        <v>1</v>
      </c>
      <c r="F34" s="433">
        <v>1</v>
      </c>
      <c r="G34" s="433">
        <v>1</v>
      </c>
      <c r="H34" s="433">
        <v>1</v>
      </c>
      <c r="I34" s="204"/>
    </row>
    <row r="35" spans="1:9">
      <c r="A35" s="420" t="s">
        <v>522</v>
      </c>
      <c r="B35" s="426" t="s">
        <v>225</v>
      </c>
      <c r="C35" s="433">
        <v>1</v>
      </c>
      <c r="D35" s="433">
        <v>1</v>
      </c>
      <c r="E35" s="433">
        <v>1</v>
      </c>
      <c r="F35" s="433">
        <v>1</v>
      </c>
      <c r="G35" s="433">
        <v>1</v>
      </c>
      <c r="H35" s="433">
        <v>1</v>
      </c>
      <c r="I35" s="204"/>
    </row>
    <row r="36" spans="1:9">
      <c r="A36" s="420" t="s">
        <v>523</v>
      </c>
      <c r="B36" s="426" t="s">
        <v>226</v>
      </c>
      <c r="C36" s="433">
        <v>1</v>
      </c>
      <c r="D36" s="433">
        <v>1</v>
      </c>
      <c r="E36" s="433">
        <v>1</v>
      </c>
      <c r="F36" s="433">
        <v>1</v>
      </c>
      <c r="G36" s="433">
        <v>1</v>
      </c>
      <c r="H36" s="433">
        <v>1</v>
      </c>
      <c r="I36" s="204"/>
    </row>
    <row r="37" spans="1:9">
      <c r="A37" s="420" t="s">
        <v>524</v>
      </c>
      <c r="B37" s="426" t="s">
        <v>227</v>
      </c>
      <c r="C37" s="433">
        <v>1</v>
      </c>
      <c r="D37" s="433">
        <v>1</v>
      </c>
      <c r="E37" s="433">
        <v>1</v>
      </c>
      <c r="F37" s="433">
        <v>1</v>
      </c>
      <c r="G37" s="433">
        <v>1</v>
      </c>
      <c r="H37" s="433">
        <v>1</v>
      </c>
      <c r="I37" s="204"/>
    </row>
    <row r="38" spans="1:9">
      <c r="A38" s="420" t="s">
        <v>525</v>
      </c>
      <c r="B38" s="426" t="s">
        <v>228</v>
      </c>
      <c r="C38" s="433">
        <v>1</v>
      </c>
      <c r="D38" s="433">
        <v>1</v>
      </c>
      <c r="E38" s="433">
        <v>1</v>
      </c>
      <c r="F38" s="433">
        <v>1</v>
      </c>
      <c r="G38" s="433">
        <v>1</v>
      </c>
      <c r="H38" s="433">
        <v>1</v>
      </c>
      <c r="I38" s="204"/>
    </row>
    <row r="39" spans="1:9" ht="24">
      <c r="A39" s="420" t="s">
        <v>526</v>
      </c>
      <c r="B39" s="426" t="s">
        <v>229</v>
      </c>
      <c r="C39" s="433">
        <v>1</v>
      </c>
      <c r="D39" s="433">
        <v>1</v>
      </c>
      <c r="E39" s="433">
        <v>1</v>
      </c>
      <c r="F39" s="433">
        <v>1</v>
      </c>
      <c r="G39" s="433">
        <v>1</v>
      </c>
      <c r="H39" s="433">
        <v>1</v>
      </c>
      <c r="I39" s="204"/>
    </row>
    <row r="40" spans="1:9" ht="24">
      <c r="A40" s="420" t="s">
        <v>527</v>
      </c>
      <c r="B40" s="426" t="s">
        <v>230</v>
      </c>
      <c r="C40" s="433">
        <v>1</v>
      </c>
      <c r="D40" s="433">
        <v>1</v>
      </c>
      <c r="E40" s="433">
        <v>1</v>
      </c>
      <c r="F40" s="433">
        <v>1</v>
      </c>
      <c r="G40" s="433">
        <v>1</v>
      </c>
      <c r="H40" s="433">
        <v>1</v>
      </c>
      <c r="I40" s="204"/>
    </row>
    <row r="41" spans="1:9" ht="24">
      <c r="A41" s="420" t="s">
        <v>528</v>
      </c>
      <c r="B41" s="426" t="s">
        <v>231</v>
      </c>
      <c r="C41" s="433">
        <v>1</v>
      </c>
      <c r="D41" s="433">
        <v>1</v>
      </c>
      <c r="E41" s="433">
        <v>1</v>
      </c>
      <c r="F41" s="433">
        <v>1</v>
      </c>
      <c r="G41" s="433">
        <v>1</v>
      </c>
      <c r="H41" s="433">
        <v>1</v>
      </c>
      <c r="I41" s="204"/>
    </row>
    <row r="42" spans="1:9" ht="24">
      <c r="A42" s="420" t="s">
        <v>529</v>
      </c>
      <c r="B42" s="426" t="s">
        <v>232</v>
      </c>
      <c r="C42" s="433">
        <v>1</v>
      </c>
      <c r="D42" s="433">
        <v>1</v>
      </c>
      <c r="E42" s="433">
        <v>1</v>
      </c>
      <c r="F42" s="433">
        <v>1</v>
      </c>
      <c r="G42" s="433">
        <v>1</v>
      </c>
      <c r="H42" s="433">
        <v>1</v>
      </c>
      <c r="I42" s="204"/>
    </row>
    <row r="43" spans="1:9" ht="24">
      <c r="A43" s="420" t="s">
        <v>530</v>
      </c>
      <c r="B43" s="426" t="s">
        <v>233</v>
      </c>
      <c r="C43" s="433">
        <v>1</v>
      </c>
      <c r="D43" s="433">
        <v>1</v>
      </c>
      <c r="E43" s="433">
        <v>1</v>
      </c>
      <c r="F43" s="433">
        <v>1</v>
      </c>
      <c r="G43" s="433">
        <v>1</v>
      </c>
      <c r="H43" s="433">
        <v>1</v>
      </c>
      <c r="I43" s="204"/>
    </row>
    <row r="44" spans="1:9">
      <c r="A44" s="418" t="s">
        <v>531</v>
      </c>
      <c r="B44" s="418" t="s">
        <v>186</v>
      </c>
      <c r="C44" s="432">
        <v>1</v>
      </c>
      <c r="D44" s="432">
        <v>1</v>
      </c>
      <c r="E44" s="432">
        <v>1</v>
      </c>
      <c r="F44" s="432">
        <v>1</v>
      </c>
      <c r="G44" s="432">
        <v>1</v>
      </c>
      <c r="H44" s="432">
        <v>1</v>
      </c>
      <c r="I44" s="204"/>
    </row>
    <row r="45" spans="1:9" ht="24">
      <c r="A45" s="420" t="s">
        <v>532</v>
      </c>
      <c r="B45" s="420" t="s">
        <v>234</v>
      </c>
      <c r="C45" s="434">
        <v>1</v>
      </c>
      <c r="D45" s="434">
        <v>1</v>
      </c>
      <c r="E45" s="434">
        <v>1</v>
      </c>
      <c r="F45" s="434">
        <v>1</v>
      </c>
      <c r="G45" s="434">
        <v>1</v>
      </c>
      <c r="H45" s="434">
        <v>1</v>
      </c>
      <c r="I45" s="204"/>
    </row>
    <row r="46" spans="1:9" ht="24">
      <c r="A46" s="420" t="s">
        <v>533</v>
      </c>
      <c r="B46" s="420" t="s">
        <v>235</v>
      </c>
      <c r="C46" s="434">
        <v>1</v>
      </c>
      <c r="D46" s="434">
        <v>1</v>
      </c>
      <c r="E46" s="434">
        <v>1</v>
      </c>
      <c r="F46" s="434">
        <v>1</v>
      </c>
      <c r="G46" s="434">
        <v>1</v>
      </c>
      <c r="H46" s="434">
        <v>1</v>
      </c>
      <c r="I46" s="204"/>
    </row>
    <row r="47" spans="1:9" ht="24">
      <c r="A47" s="420" t="s">
        <v>534</v>
      </c>
      <c r="B47" s="426" t="s">
        <v>236</v>
      </c>
      <c r="C47" s="434">
        <v>1</v>
      </c>
      <c r="D47" s="434">
        <v>1</v>
      </c>
      <c r="E47" s="434">
        <v>1</v>
      </c>
      <c r="F47" s="434">
        <v>1</v>
      </c>
      <c r="G47" s="434">
        <v>1</v>
      </c>
      <c r="H47" s="434">
        <v>1</v>
      </c>
      <c r="I47" s="204"/>
    </row>
    <row r="48" spans="1:9">
      <c r="A48" s="420" t="s">
        <v>535</v>
      </c>
      <c r="B48" s="426" t="s">
        <v>237</v>
      </c>
      <c r="C48" s="434">
        <v>1</v>
      </c>
      <c r="D48" s="434">
        <v>1</v>
      </c>
      <c r="E48" s="434">
        <v>1</v>
      </c>
      <c r="F48" s="434">
        <v>1</v>
      </c>
      <c r="G48" s="434">
        <v>1</v>
      </c>
      <c r="H48" s="434">
        <v>1</v>
      </c>
      <c r="I48" s="204"/>
    </row>
    <row r="49" spans="1:9">
      <c r="A49" s="420" t="s">
        <v>536</v>
      </c>
      <c r="B49" s="426" t="s">
        <v>238</v>
      </c>
      <c r="C49" s="434">
        <v>1</v>
      </c>
      <c r="D49" s="434">
        <v>1</v>
      </c>
      <c r="E49" s="434">
        <v>1</v>
      </c>
      <c r="F49" s="434">
        <v>1</v>
      </c>
      <c r="G49" s="434">
        <v>1</v>
      </c>
      <c r="H49" s="434">
        <v>1</v>
      </c>
      <c r="I49" s="204"/>
    </row>
    <row r="50" spans="1:9" ht="24">
      <c r="A50" s="420" t="s">
        <v>537</v>
      </c>
      <c r="B50" s="426" t="s">
        <v>239</v>
      </c>
      <c r="C50" s="434">
        <v>1</v>
      </c>
      <c r="D50" s="434">
        <v>1</v>
      </c>
      <c r="E50" s="434">
        <v>1</v>
      </c>
      <c r="F50" s="434">
        <v>1</v>
      </c>
      <c r="G50" s="434">
        <v>1</v>
      </c>
      <c r="H50" s="434">
        <v>1</v>
      </c>
      <c r="I50" s="204"/>
    </row>
    <row r="51" spans="1:9">
      <c r="A51" s="420" t="s">
        <v>538</v>
      </c>
      <c r="B51" s="426" t="s">
        <v>240</v>
      </c>
      <c r="C51" s="434">
        <v>1</v>
      </c>
      <c r="D51" s="434">
        <v>1</v>
      </c>
      <c r="E51" s="434">
        <v>1</v>
      </c>
      <c r="F51" s="434">
        <v>1</v>
      </c>
      <c r="G51" s="434">
        <v>1</v>
      </c>
      <c r="H51" s="434">
        <v>1</v>
      </c>
      <c r="I51" s="204"/>
    </row>
    <row r="52" spans="1:9" ht="24">
      <c r="A52" s="420" t="s">
        <v>539</v>
      </c>
      <c r="B52" s="426" t="s">
        <v>241</v>
      </c>
      <c r="C52" s="434">
        <v>1</v>
      </c>
      <c r="D52" s="434">
        <v>1</v>
      </c>
      <c r="E52" s="434">
        <v>1</v>
      </c>
      <c r="F52" s="434">
        <v>1</v>
      </c>
      <c r="G52" s="434">
        <v>1</v>
      </c>
      <c r="H52" s="434">
        <v>1</v>
      </c>
      <c r="I52" s="204"/>
    </row>
    <row r="53" spans="1:9">
      <c r="A53" s="420" t="s">
        <v>540</v>
      </c>
      <c r="B53" s="426" t="s">
        <v>242</v>
      </c>
      <c r="C53" s="434">
        <v>1</v>
      </c>
      <c r="D53" s="434">
        <v>1</v>
      </c>
      <c r="E53" s="434">
        <v>1</v>
      </c>
      <c r="F53" s="434">
        <v>1</v>
      </c>
      <c r="G53" s="434">
        <v>1</v>
      </c>
      <c r="H53" s="434">
        <v>1</v>
      </c>
      <c r="I53" s="204"/>
    </row>
    <row r="54" spans="1:9" ht="24">
      <c r="A54" s="420" t="s">
        <v>541</v>
      </c>
      <c r="B54" s="426" t="s">
        <v>243</v>
      </c>
      <c r="C54" s="434">
        <v>1</v>
      </c>
      <c r="D54" s="434">
        <v>1</v>
      </c>
      <c r="E54" s="434">
        <v>1</v>
      </c>
      <c r="F54" s="434">
        <v>1</v>
      </c>
      <c r="G54" s="434">
        <v>1</v>
      </c>
      <c r="H54" s="434">
        <v>1</v>
      </c>
      <c r="I54" s="204"/>
    </row>
    <row r="55" spans="1:9">
      <c r="A55" s="420" t="s">
        <v>542</v>
      </c>
      <c r="B55" s="426" t="s">
        <v>244</v>
      </c>
      <c r="C55" s="434">
        <v>1</v>
      </c>
      <c r="D55" s="434">
        <v>1</v>
      </c>
      <c r="E55" s="434">
        <v>1</v>
      </c>
      <c r="F55" s="434">
        <v>1</v>
      </c>
      <c r="G55" s="434">
        <v>1</v>
      </c>
      <c r="H55" s="434">
        <v>1</v>
      </c>
      <c r="I55" s="204"/>
    </row>
    <row r="56" spans="1:9">
      <c r="A56" s="420" t="s">
        <v>543</v>
      </c>
      <c r="B56" s="426" t="s">
        <v>245</v>
      </c>
      <c r="C56" s="434">
        <v>1</v>
      </c>
      <c r="D56" s="434">
        <v>1</v>
      </c>
      <c r="E56" s="434">
        <v>1</v>
      </c>
      <c r="F56" s="434">
        <v>1</v>
      </c>
      <c r="G56" s="434">
        <v>1</v>
      </c>
      <c r="H56" s="434">
        <v>1</v>
      </c>
      <c r="I56" s="204"/>
    </row>
    <row r="57" spans="1:9">
      <c r="A57" s="420" t="s">
        <v>544</v>
      </c>
      <c r="B57" s="426" t="s">
        <v>246</v>
      </c>
      <c r="C57" s="434">
        <v>1</v>
      </c>
      <c r="D57" s="434">
        <v>1</v>
      </c>
      <c r="E57" s="434">
        <v>1</v>
      </c>
      <c r="F57" s="434">
        <v>1</v>
      </c>
      <c r="G57" s="434">
        <v>1</v>
      </c>
      <c r="H57" s="434">
        <v>1</v>
      </c>
      <c r="I57" s="204"/>
    </row>
    <row r="58" spans="1:9">
      <c r="A58" s="420" t="s">
        <v>545</v>
      </c>
      <c r="B58" s="426" t="s">
        <v>247</v>
      </c>
      <c r="C58" s="434">
        <v>1</v>
      </c>
      <c r="D58" s="434">
        <v>1</v>
      </c>
      <c r="E58" s="434">
        <v>1</v>
      </c>
      <c r="F58" s="434">
        <v>1</v>
      </c>
      <c r="G58" s="434">
        <v>1</v>
      </c>
      <c r="H58" s="434">
        <v>1</v>
      </c>
      <c r="I58" s="204"/>
    </row>
    <row r="59" spans="1:9">
      <c r="A59" s="420" t="s">
        <v>546</v>
      </c>
      <c r="B59" s="426" t="s">
        <v>248</v>
      </c>
      <c r="C59" s="434">
        <v>1</v>
      </c>
      <c r="D59" s="434">
        <v>1</v>
      </c>
      <c r="E59" s="434">
        <v>1</v>
      </c>
      <c r="F59" s="434">
        <v>1</v>
      </c>
      <c r="G59" s="434">
        <v>1</v>
      </c>
      <c r="H59" s="434">
        <v>1</v>
      </c>
      <c r="I59" s="204"/>
    </row>
    <row r="60" spans="1:9">
      <c r="A60" s="420" t="s">
        <v>547</v>
      </c>
      <c r="B60" s="426" t="s">
        <v>249</v>
      </c>
      <c r="C60" s="434">
        <v>1</v>
      </c>
      <c r="D60" s="434">
        <v>1</v>
      </c>
      <c r="E60" s="434">
        <v>1</v>
      </c>
      <c r="F60" s="434">
        <v>1</v>
      </c>
      <c r="G60" s="434">
        <v>1</v>
      </c>
      <c r="H60" s="434">
        <v>1</v>
      </c>
      <c r="I60" s="204"/>
    </row>
    <row r="61" spans="1:9">
      <c r="A61" s="420" t="s">
        <v>548</v>
      </c>
      <c r="B61" s="426" t="s">
        <v>250</v>
      </c>
      <c r="C61" s="434">
        <v>1</v>
      </c>
      <c r="D61" s="434">
        <v>1</v>
      </c>
      <c r="E61" s="434">
        <v>1</v>
      </c>
      <c r="F61" s="434">
        <v>1</v>
      </c>
      <c r="G61" s="434">
        <v>1</v>
      </c>
      <c r="H61" s="434">
        <v>1</v>
      </c>
      <c r="I61" s="204"/>
    </row>
    <row r="62" spans="1:9">
      <c r="A62" s="420" t="s">
        <v>549</v>
      </c>
      <c r="B62" s="426" t="s">
        <v>251</v>
      </c>
      <c r="C62" s="434">
        <v>1</v>
      </c>
      <c r="D62" s="434">
        <v>1</v>
      </c>
      <c r="E62" s="434">
        <v>1</v>
      </c>
      <c r="F62" s="434">
        <v>1</v>
      </c>
      <c r="G62" s="434">
        <v>1</v>
      </c>
      <c r="H62" s="434">
        <v>1</v>
      </c>
      <c r="I62" s="204"/>
    </row>
    <row r="63" spans="1:9" ht="24">
      <c r="A63" s="420" t="s">
        <v>550</v>
      </c>
      <c r="B63" s="426" t="s">
        <v>252</v>
      </c>
      <c r="C63" s="434">
        <v>1</v>
      </c>
      <c r="D63" s="434">
        <v>1</v>
      </c>
      <c r="E63" s="434">
        <v>1</v>
      </c>
      <c r="F63" s="434">
        <v>1</v>
      </c>
      <c r="G63" s="434">
        <v>1</v>
      </c>
      <c r="H63" s="434">
        <v>1</v>
      </c>
      <c r="I63" s="204"/>
    </row>
    <row r="64" spans="1:9" ht="24">
      <c r="A64" s="420" t="s">
        <v>551</v>
      </c>
      <c r="B64" s="426" t="s">
        <v>253</v>
      </c>
      <c r="C64" s="434">
        <v>1</v>
      </c>
      <c r="D64" s="434">
        <v>1</v>
      </c>
      <c r="E64" s="434">
        <v>1</v>
      </c>
      <c r="F64" s="434">
        <v>1</v>
      </c>
      <c r="G64" s="434">
        <v>1</v>
      </c>
      <c r="H64" s="434">
        <v>1</v>
      </c>
      <c r="I64" s="204"/>
    </row>
    <row r="65" spans="1:9" ht="24">
      <c r="A65" s="420" t="s">
        <v>552</v>
      </c>
      <c r="B65" s="420" t="s">
        <v>254</v>
      </c>
      <c r="C65" s="434">
        <v>1</v>
      </c>
      <c r="D65" s="434">
        <v>1</v>
      </c>
      <c r="E65" s="434">
        <v>1</v>
      </c>
      <c r="F65" s="434">
        <v>1</v>
      </c>
      <c r="G65" s="434">
        <v>1</v>
      </c>
      <c r="H65" s="434">
        <v>1</v>
      </c>
      <c r="I65" s="204"/>
    </row>
    <row r="66" spans="1:9" ht="24">
      <c r="A66" s="420" t="s">
        <v>553</v>
      </c>
      <c r="B66" s="420" t="s">
        <v>255</v>
      </c>
      <c r="C66" s="434">
        <v>1</v>
      </c>
      <c r="D66" s="434">
        <v>1</v>
      </c>
      <c r="E66" s="434">
        <v>1</v>
      </c>
      <c r="F66" s="434">
        <v>1</v>
      </c>
      <c r="G66" s="434">
        <v>1</v>
      </c>
      <c r="H66" s="434">
        <v>1</v>
      </c>
      <c r="I66" s="204"/>
    </row>
    <row r="67" spans="1:9" ht="24">
      <c r="A67" s="420" t="s">
        <v>554</v>
      </c>
      <c r="B67" s="420" t="s">
        <v>256</v>
      </c>
      <c r="C67" s="434">
        <v>1</v>
      </c>
      <c r="D67" s="434">
        <v>1</v>
      </c>
      <c r="E67" s="434">
        <v>1</v>
      </c>
      <c r="F67" s="434">
        <v>1</v>
      </c>
      <c r="G67" s="434">
        <v>1</v>
      </c>
      <c r="H67" s="434">
        <v>1</v>
      </c>
      <c r="I67" s="204"/>
    </row>
    <row r="68" spans="1:9" ht="24">
      <c r="A68" s="420" t="s">
        <v>555</v>
      </c>
      <c r="B68" s="420" t="s">
        <v>257</v>
      </c>
      <c r="C68" s="434">
        <v>1</v>
      </c>
      <c r="D68" s="434">
        <v>1</v>
      </c>
      <c r="E68" s="434">
        <v>1</v>
      </c>
      <c r="F68" s="434">
        <v>1</v>
      </c>
      <c r="G68" s="434">
        <v>1</v>
      </c>
      <c r="H68" s="434">
        <v>1</v>
      </c>
      <c r="I68" s="204"/>
    </row>
    <row r="69" spans="1:9">
      <c r="A69" s="418" t="s">
        <v>556</v>
      </c>
      <c r="B69" s="418" t="s">
        <v>187</v>
      </c>
      <c r="C69" s="432">
        <v>1</v>
      </c>
      <c r="D69" s="432">
        <v>1</v>
      </c>
      <c r="E69" s="432">
        <v>1</v>
      </c>
      <c r="F69" s="432">
        <v>1</v>
      </c>
      <c r="G69" s="432">
        <v>1</v>
      </c>
      <c r="H69" s="432">
        <v>1</v>
      </c>
      <c r="I69" s="204"/>
    </row>
    <row r="70" spans="1:9">
      <c r="A70" s="420" t="s">
        <v>557</v>
      </c>
      <c r="B70" s="420" t="s">
        <v>258</v>
      </c>
      <c r="C70" s="434">
        <v>1</v>
      </c>
      <c r="D70" s="434">
        <v>1</v>
      </c>
      <c r="E70" s="434">
        <v>1</v>
      </c>
      <c r="F70" s="434">
        <v>1</v>
      </c>
      <c r="G70" s="434">
        <v>1</v>
      </c>
      <c r="H70" s="434">
        <v>1</v>
      </c>
      <c r="I70" s="204"/>
    </row>
    <row r="71" spans="1:9">
      <c r="A71" s="420" t="s">
        <v>558</v>
      </c>
      <c r="B71" s="420" t="s">
        <v>259</v>
      </c>
      <c r="C71" s="434">
        <v>1</v>
      </c>
      <c r="D71" s="434">
        <v>1</v>
      </c>
      <c r="E71" s="434">
        <v>1</v>
      </c>
      <c r="F71" s="434">
        <v>1</v>
      </c>
      <c r="G71" s="434">
        <v>1</v>
      </c>
      <c r="H71" s="434">
        <v>1</v>
      </c>
      <c r="I71" s="204"/>
    </row>
    <row r="72" spans="1:9">
      <c r="A72" s="420" t="s">
        <v>559</v>
      </c>
      <c r="B72" s="420" t="s">
        <v>260</v>
      </c>
      <c r="C72" s="434">
        <v>1</v>
      </c>
      <c r="D72" s="434">
        <v>1</v>
      </c>
      <c r="E72" s="434">
        <v>1</v>
      </c>
      <c r="F72" s="434">
        <v>1</v>
      </c>
      <c r="G72" s="434">
        <v>1</v>
      </c>
      <c r="H72" s="434">
        <v>1</v>
      </c>
      <c r="I72" s="204"/>
    </row>
    <row r="73" spans="1:9" ht="24">
      <c r="A73" s="420" t="s">
        <v>560</v>
      </c>
      <c r="B73" s="420" t="s">
        <v>261</v>
      </c>
      <c r="C73" s="434">
        <v>1</v>
      </c>
      <c r="D73" s="434">
        <v>1</v>
      </c>
      <c r="E73" s="434">
        <v>1</v>
      </c>
      <c r="F73" s="434">
        <v>1</v>
      </c>
      <c r="G73" s="434">
        <v>1</v>
      </c>
      <c r="H73" s="434">
        <v>1</v>
      </c>
      <c r="I73" s="204"/>
    </row>
    <row r="74" spans="1:9">
      <c r="A74" s="420" t="s">
        <v>561</v>
      </c>
      <c r="B74" s="420" t="s">
        <v>262</v>
      </c>
      <c r="C74" s="434">
        <v>1</v>
      </c>
      <c r="D74" s="434">
        <v>1</v>
      </c>
      <c r="E74" s="434">
        <v>1</v>
      </c>
      <c r="F74" s="434">
        <v>1</v>
      </c>
      <c r="G74" s="434">
        <v>1</v>
      </c>
      <c r="H74" s="434">
        <v>1</v>
      </c>
      <c r="I74" s="204"/>
    </row>
    <row r="75" spans="1:9" ht="24">
      <c r="A75" s="420" t="s">
        <v>562</v>
      </c>
      <c r="B75" s="420" t="s">
        <v>263</v>
      </c>
      <c r="C75" s="434">
        <v>1</v>
      </c>
      <c r="D75" s="434">
        <v>1</v>
      </c>
      <c r="E75" s="434">
        <v>1</v>
      </c>
      <c r="F75" s="434">
        <v>1</v>
      </c>
      <c r="G75" s="434">
        <v>1</v>
      </c>
      <c r="H75" s="434">
        <v>1</v>
      </c>
      <c r="I75" s="204"/>
    </row>
    <row r="76" spans="1:9">
      <c r="A76" s="420" t="s">
        <v>563</v>
      </c>
      <c r="B76" s="420" t="s">
        <v>264</v>
      </c>
      <c r="C76" s="434">
        <v>1</v>
      </c>
      <c r="D76" s="434">
        <v>1</v>
      </c>
      <c r="E76" s="434">
        <v>1</v>
      </c>
      <c r="F76" s="434">
        <v>1</v>
      </c>
      <c r="G76" s="434">
        <v>1</v>
      </c>
      <c r="H76" s="434">
        <v>1</v>
      </c>
      <c r="I76" s="204"/>
    </row>
    <row r="77" spans="1:9">
      <c r="A77" s="420" t="s">
        <v>564</v>
      </c>
      <c r="B77" s="420" t="s">
        <v>265</v>
      </c>
      <c r="C77" s="434">
        <v>1</v>
      </c>
      <c r="D77" s="434">
        <v>1</v>
      </c>
      <c r="E77" s="434">
        <v>1</v>
      </c>
      <c r="F77" s="434">
        <v>1</v>
      </c>
      <c r="G77" s="434">
        <v>1</v>
      </c>
      <c r="H77" s="434">
        <v>1</v>
      </c>
      <c r="I77" s="204"/>
    </row>
    <row r="78" spans="1:9">
      <c r="A78" s="420" t="s">
        <v>565</v>
      </c>
      <c r="B78" s="420" t="s">
        <v>266</v>
      </c>
      <c r="C78" s="434">
        <v>1</v>
      </c>
      <c r="D78" s="434">
        <v>1</v>
      </c>
      <c r="E78" s="434">
        <v>1</v>
      </c>
      <c r="F78" s="434">
        <v>1</v>
      </c>
      <c r="G78" s="434">
        <v>1</v>
      </c>
      <c r="H78" s="434">
        <v>1</v>
      </c>
      <c r="I78" s="204"/>
    </row>
    <row r="79" spans="1:9">
      <c r="A79" s="420" t="s">
        <v>566</v>
      </c>
      <c r="B79" s="420" t="s">
        <v>267</v>
      </c>
      <c r="C79" s="434">
        <v>1</v>
      </c>
      <c r="D79" s="434">
        <v>1</v>
      </c>
      <c r="E79" s="434">
        <v>1</v>
      </c>
      <c r="F79" s="434">
        <v>1</v>
      </c>
      <c r="G79" s="434">
        <v>1</v>
      </c>
      <c r="H79" s="434">
        <v>1</v>
      </c>
      <c r="I79" s="204"/>
    </row>
    <row r="80" spans="1:9">
      <c r="A80" s="420" t="s">
        <v>567</v>
      </c>
      <c r="B80" s="420" t="s">
        <v>268</v>
      </c>
      <c r="C80" s="434">
        <v>1</v>
      </c>
      <c r="D80" s="434">
        <v>1</v>
      </c>
      <c r="E80" s="434">
        <v>1</v>
      </c>
      <c r="F80" s="434">
        <v>1</v>
      </c>
      <c r="G80" s="434">
        <v>1</v>
      </c>
      <c r="H80" s="434">
        <v>1</v>
      </c>
      <c r="I80" s="204"/>
    </row>
    <row r="81" spans="1:9">
      <c r="A81" s="420" t="s">
        <v>568</v>
      </c>
      <c r="B81" s="420" t="s">
        <v>269</v>
      </c>
      <c r="C81" s="434">
        <v>1</v>
      </c>
      <c r="D81" s="434">
        <v>1</v>
      </c>
      <c r="E81" s="434">
        <v>1</v>
      </c>
      <c r="F81" s="434">
        <v>1</v>
      </c>
      <c r="G81" s="434">
        <v>1</v>
      </c>
      <c r="H81" s="434">
        <v>1</v>
      </c>
      <c r="I81" s="204"/>
    </row>
    <row r="82" spans="1:9">
      <c r="A82" s="420" t="s">
        <v>569</v>
      </c>
      <c r="B82" s="420" t="s">
        <v>270</v>
      </c>
      <c r="C82" s="434">
        <v>1</v>
      </c>
      <c r="D82" s="434">
        <v>1</v>
      </c>
      <c r="E82" s="434">
        <v>1</v>
      </c>
      <c r="F82" s="434">
        <v>1</v>
      </c>
      <c r="G82" s="434">
        <v>1</v>
      </c>
      <c r="H82" s="434">
        <v>1</v>
      </c>
      <c r="I82" s="204"/>
    </row>
    <row r="83" spans="1:9">
      <c r="A83" s="420" t="s">
        <v>570</v>
      </c>
      <c r="B83" s="420" t="s">
        <v>271</v>
      </c>
      <c r="C83" s="434">
        <v>1</v>
      </c>
      <c r="D83" s="434">
        <v>1</v>
      </c>
      <c r="E83" s="434">
        <v>1</v>
      </c>
      <c r="F83" s="434">
        <v>1</v>
      </c>
      <c r="G83" s="434">
        <v>1</v>
      </c>
      <c r="H83" s="434">
        <v>1</v>
      </c>
      <c r="I83" s="204"/>
    </row>
    <row r="84" spans="1:9">
      <c r="A84" s="420" t="s">
        <v>571</v>
      </c>
      <c r="B84" s="420" t="s">
        <v>272</v>
      </c>
      <c r="C84" s="434">
        <v>1</v>
      </c>
      <c r="D84" s="434">
        <v>1</v>
      </c>
      <c r="E84" s="434">
        <v>1</v>
      </c>
      <c r="F84" s="434">
        <v>1</v>
      </c>
      <c r="G84" s="434">
        <v>1</v>
      </c>
      <c r="H84" s="434">
        <v>1</v>
      </c>
      <c r="I84" s="204"/>
    </row>
    <row r="85" spans="1:9">
      <c r="A85" s="420" t="s">
        <v>572</v>
      </c>
      <c r="B85" s="420" t="s">
        <v>273</v>
      </c>
      <c r="C85" s="434">
        <v>1</v>
      </c>
      <c r="D85" s="434">
        <v>1</v>
      </c>
      <c r="E85" s="434">
        <v>1</v>
      </c>
      <c r="F85" s="434">
        <v>1</v>
      </c>
      <c r="G85" s="434">
        <v>1</v>
      </c>
      <c r="H85" s="434">
        <v>1</v>
      </c>
      <c r="I85" s="204"/>
    </row>
    <row r="86" spans="1:9" ht="36">
      <c r="A86" s="420" t="s">
        <v>573</v>
      </c>
      <c r="B86" s="426" t="s">
        <v>274</v>
      </c>
      <c r="C86" s="434">
        <v>1</v>
      </c>
      <c r="D86" s="434">
        <v>1</v>
      </c>
      <c r="E86" s="434">
        <v>1</v>
      </c>
      <c r="F86" s="434">
        <v>1</v>
      </c>
      <c r="G86" s="434">
        <v>1</v>
      </c>
      <c r="H86" s="434">
        <v>1</v>
      </c>
      <c r="I86" s="204"/>
    </row>
    <row r="87" spans="1:9" ht="36">
      <c r="A87" s="420" t="s">
        <v>574</v>
      </c>
      <c r="B87" s="426" t="s">
        <v>275</v>
      </c>
      <c r="C87" s="434">
        <v>1</v>
      </c>
      <c r="D87" s="434">
        <v>1</v>
      </c>
      <c r="E87" s="434">
        <v>1</v>
      </c>
      <c r="F87" s="434">
        <v>1</v>
      </c>
      <c r="G87" s="434">
        <v>1</v>
      </c>
      <c r="H87" s="434">
        <v>1</v>
      </c>
      <c r="I87" s="204"/>
    </row>
    <row r="88" spans="1:9" ht="36">
      <c r="A88" s="420" t="s">
        <v>575</v>
      </c>
      <c r="B88" s="426" t="s">
        <v>276</v>
      </c>
      <c r="C88" s="434">
        <v>1</v>
      </c>
      <c r="D88" s="434">
        <v>1</v>
      </c>
      <c r="E88" s="434">
        <v>1</v>
      </c>
      <c r="F88" s="434">
        <v>1</v>
      </c>
      <c r="G88" s="434">
        <v>1</v>
      </c>
      <c r="H88" s="434">
        <v>1</v>
      </c>
      <c r="I88" s="204"/>
    </row>
    <row r="89" spans="1:9" ht="36">
      <c r="A89" s="420" t="s">
        <v>576</v>
      </c>
      <c r="B89" s="426" t="s">
        <v>277</v>
      </c>
      <c r="C89" s="434">
        <v>1</v>
      </c>
      <c r="D89" s="434">
        <v>1</v>
      </c>
      <c r="E89" s="434">
        <v>1</v>
      </c>
      <c r="F89" s="434">
        <v>1</v>
      </c>
      <c r="G89" s="434">
        <v>1</v>
      </c>
      <c r="H89" s="434">
        <v>1</v>
      </c>
      <c r="I89" s="204"/>
    </row>
    <row r="90" spans="1:9" ht="36">
      <c r="A90" s="420" t="s">
        <v>577</v>
      </c>
      <c r="B90" s="426" t="s">
        <v>278</v>
      </c>
      <c r="C90" s="434">
        <v>1</v>
      </c>
      <c r="D90" s="434">
        <v>1</v>
      </c>
      <c r="E90" s="434">
        <v>1</v>
      </c>
      <c r="F90" s="434">
        <v>1</v>
      </c>
      <c r="G90" s="434">
        <v>1</v>
      </c>
      <c r="H90" s="434">
        <v>1</v>
      </c>
      <c r="I90" s="204"/>
    </row>
    <row r="91" spans="1:9" ht="36">
      <c r="A91" s="420" t="s">
        <v>578</v>
      </c>
      <c r="B91" s="426" t="s">
        <v>279</v>
      </c>
      <c r="C91" s="434">
        <v>1</v>
      </c>
      <c r="D91" s="434">
        <v>1</v>
      </c>
      <c r="E91" s="434">
        <v>1</v>
      </c>
      <c r="F91" s="434">
        <v>1</v>
      </c>
      <c r="G91" s="434">
        <v>1</v>
      </c>
      <c r="H91" s="434">
        <v>1</v>
      </c>
      <c r="I91" s="204"/>
    </row>
    <row r="92" spans="1:9" ht="36">
      <c r="A92" s="420" t="s">
        <v>579</v>
      </c>
      <c r="B92" s="426" t="s">
        <v>280</v>
      </c>
      <c r="C92" s="434">
        <v>1</v>
      </c>
      <c r="D92" s="434">
        <v>1</v>
      </c>
      <c r="E92" s="434">
        <v>1</v>
      </c>
      <c r="F92" s="434">
        <v>1</v>
      </c>
      <c r="G92" s="434">
        <v>1</v>
      </c>
      <c r="H92" s="434">
        <v>1</v>
      </c>
      <c r="I92" s="204"/>
    </row>
    <row r="93" spans="1:9">
      <c r="A93" s="435" t="s">
        <v>580</v>
      </c>
      <c r="B93" s="435" t="s">
        <v>188</v>
      </c>
      <c r="C93" s="436">
        <v>1</v>
      </c>
      <c r="D93" s="436">
        <v>1</v>
      </c>
      <c r="E93" s="436">
        <v>1</v>
      </c>
      <c r="F93" s="436">
        <v>1</v>
      </c>
      <c r="G93" s="436">
        <v>1</v>
      </c>
      <c r="H93" s="436">
        <v>1</v>
      </c>
      <c r="I93" s="204"/>
    </row>
    <row r="94" spans="1:9" ht="36">
      <c r="A94" s="426" t="s">
        <v>581</v>
      </c>
      <c r="B94" s="426" t="s">
        <v>281</v>
      </c>
      <c r="C94" s="434">
        <v>1</v>
      </c>
      <c r="D94" s="434">
        <v>1</v>
      </c>
      <c r="E94" s="434">
        <v>1</v>
      </c>
      <c r="F94" s="434">
        <v>1</v>
      </c>
      <c r="G94" s="434">
        <v>1</v>
      </c>
      <c r="H94" s="434">
        <v>1</v>
      </c>
      <c r="I94" s="204"/>
    </row>
    <row r="95" spans="1:9" ht="36">
      <c r="A95" s="426" t="s">
        <v>582</v>
      </c>
      <c r="B95" s="426" t="s">
        <v>282</v>
      </c>
      <c r="C95" s="434">
        <v>1</v>
      </c>
      <c r="D95" s="434">
        <v>1</v>
      </c>
      <c r="E95" s="434">
        <v>1</v>
      </c>
      <c r="F95" s="434">
        <v>1</v>
      </c>
      <c r="G95" s="434">
        <v>1</v>
      </c>
      <c r="H95" s="434">
        <v>1</v>
      </c>
      <c r="I95" s="204"/>
    </row>
    <row r="96" spans="1:9" ht="36">
      <c r="A96" s="426" t="s">
        <v>583</v>
      </c>
      <c r="B96" s="426" t="s">
        <v>283</v>
      </c>
      <c r="C96" s="434">
        <v>1</v>
      </c>
      <c r="D96" s="434">
        <v>1</v>
      </c>
      <c r="E96" s="434">
        <v>1</v>
      </c>
      <c r="F96" s="434">
        <v>1</v>
      </c>
      <c r="G96" s="434">
        <v>1</v>
      </c>
      <c r="H96" s="434">
        <v>1</v>
      </c>
      <c r="I96" s="204"/>
    </row>
    <row r="97" spans="1:9">
      <c r="A97" s="418" t="s">
        <v>584</v>
      </c>
      <c r="B97" s="418" t="s">
        <v>189</v>
      </c>
      <c r="C97" s="432">
        <v>1</v>
      </c>
      <c r="D97" s="432">
        <v>1</v>
      </c>
      <c r="E97" s="432">
        <v>1</v>
      </c>
      <c r="F97" s="432">
        <v>1</v>
      </c>
      <c r="G97" s="432">
        <v>1</v>
      </c>
      <c r="H97" s="432">
        <v>1</v>
      </c>
      <c r="I97" s="204"/>
    </row>
    <row r="98" spans="1:9">
      <c r="A98" s="426" t="s">
        <v>585</v>
      </c>
      <c r="B98" s="426" t="s">
        <v>284</v>
      </c>
      <c r="C98" s="434">
        <v>1</v>
      </c>
      <c r="D98" s="434">
        <v>1</v>
      </c>
      <c r="E98" s="434">
        <v>1</v>
      </c>
      <c r="F98" s="434">
        <v>1</v>
      </c>
      <c r="G98" s="434">
        <v>1</v>
      </c>
      <c r="H98" s="434">
        <v>1</v>
      </c>
      <c r="I98" s="204"/>
    </row>
    <row r="99" spans="1:9">
      <c r="A99" s="426" t="s">
        <v>586</v>
      </c>
      <c r="B99" s="426" t="s">
        <v>285</v>
      </c>
      <c r="C99" s="434">
        <v>1</v>
      </c>
      <c r="D99" s="434">
        <v>1</v>
      </c>
      <c r="E99" s="434">
        <v>1</v>
      </c>
      <c r="F99" s="434">
        <v>1</v>
      </c>
      <c r="G99" s="434">
        <v>1</v>
      </c>
      <c r="H99" s="434">
        <v>1</v>
      </c>
      <c r="I99" s="204"/>
    </row>
    <row r="100" spans="1:9">
      <c r="A100" s="426" t="s">
        <v>587</v>
      </c>
      <c r="B100" s="426" t="s">
        <v>286</v>
      </c>
      <c r="C100" s="434">
        <v>1</v>
      </c>
      <c r="D100" s="434">
        <v>1</v>
      </c>
      <c r="E100" s="434">
        <v>1</v>
      </c>
      <c r="F100" s="434">
        <v>1</v>
      </c>
      <c r="G100" s="434">
        <v>1</v>
      </c>
      <c r="H100" s="434">
        <v>1</v>
      </c>
      <c r="I100" s="204"/>
    </row>
    <row r="101" spans="1:9">
      <c r="A101" s="426" t="s">
        <v>588</v>
      </c>
      <c r="B101" s="426" t="s">
        <v>287</v>
      </c>
      <c r="C101" s="434">
        <v>1</v>
      </c>
      <c r="D101" s="434">
        <v>1</v>
      </c>
      <c r="E101" s="434">
        <v>1</v>
      </c>
      <c r="F101" s="434">
        <v>1</v>
      </c>
      <c r="G101" s="434">
        <v>1</v>
      </c>
      <c r="H101" s="434">
        <v>1</v>
      </c>
      <c r="I101" s="204"/>
    </row>
    <row r="102" spans="1:9">
      <c r="A102" s="426" t="s">
        <v>589</v>
      </c>
      <c r="B102" s="426" t="s">
        <v>288</v>
      </c>
      <c r="C102" s="434">
        <v>1</v>
      </c>
      <c r="D102" s="434">
        <v>1</v>
      </c>
      <c r="E102" s="434">
        <v>1</v>
      </c>
      <c r="F102" s="434">
        <v>1</v>
      </c>
      <c r="G102" s="434">
        <v>1</v>
      </c>
      <c r="H102" s="434">
        <v>1</v>
      </c>
      <c r="I102" s="204"/>
    </row>
    <row r="103" spans="1:9">
      <c r="A103" s="426" t="s">
        <v>590</v>
      </c>
      <c r="B103" s="426" t="s">
        <v>289</v>
      </c>
      <c r="C103" s="434">
        <v>1</v>
      </c>
      <c r="D103" s="434">
        <v>1</v>
      </c>
      <c r="E103" s="434">
        <v>1</v>
      </c>
      <c r="F103" s="434">
        <v>1</v>
      </c>
      <c r="G103" s="434">
        <v>1</v>
      </c>
      <c r="H103" s="434">
        <v>1</v>
      </c>
      <c r="I103" s="204"/>
    </row>
    <row r="104" spans="1:9">
      <c r="A104" s="426" t="s">
        <v>591</v>
      </c>
      <c r="B104" s="426" t="s">
        <v>290</v>
      </c>
      <c r="C104" s="434">
        <v>1</v>
      </c>
      <c r="D104" s="434">
        <v>1</v>
      </c>
      <c r="E104" s="434">
        <v>1</v>
      </c>
      <c r="F104" s="434">
        <v>1</v>
      </c>
      <c r="G104" s="434">
        <v>1</v>
      </c>
      <c r="H104" s="434">
        <v>1</v>
      </c>
      <c r="I104" s="204"/>
    </row>
    <row r="105" spans="1:9">
      <c r="A105" s="426" t="s">
        <v>592</v>
      </c>
      <c r="B105" s="426" t="s">
        <v>291</v>
      </c>
      <c r="C105" s="434">
        <v>1</v>
      </c>
      <c r="D105" s="434">
        <v>1</v>
      </c>
      <c r="E105" s="434">
        <v>1</v>
      </c>
      <c r="F105" s="434">
        <v>1</v>
      </c>
      <c r="G105" s="434">
        <v>1</v>
      </c>
      <c r="H105" s="434">
        <v>1</v>
      </c>
      <c r="I105" s="204"/>
    </row>
    <row r="106" spans="1:9">
      <c r="A106" s="426" t="s">
        <v>593</v>
      </c>
      <c r="B106" s="426" t="s">
        <v>292</v>
      </c>
      <c r="C106" s="434">
        <v>1</v>
      </c>
      <c r="D106" s="434">
        <v>1</v>
      </c>
      <c r="E106" s="434">
        <v>1</v>
      </c>
      <c r="F106" s="434">
        <v>1</v>
      </c>
      <c r="G106" s="434">
        <v>1</v>
      </c>
      <c r="H106" s="434">
        <v>1</v>
      </c>
      <c r="I106" s="204"/>
    </row>
    <row r="107" spans="1:9">
      <c r="A107" s="426" t="s">
        <v>594</v>
      </c>
      <c r="B107" s="426" t="s">
        <v>293</v>
      </c>
      <c r="C107" s="434">
        <v>1</v>
      </c>
      <c r="D107" s="434">
        <v>1</v>
      </c>
      <c r="E107" s="434">
        <v>1</v>
      </c>
      <c r="F107" s="434">
        <v>1</v>
      </c>
      <c r="G107" s="434">
        <v>1</v>
      </c>
      <c r="H107" s="434">
        <v>1</v>
      </c>
      <c r="I107" s="204"/>
    </row>
    <row r="108" spans="1:9">
      <c r="A108" s="426" t="s">
        <v>595</v>
      </c>
      <c r="B108" s="426" t="s">
        <v>294</v>
      </c>
      <c r="C108" s="434">
        <v>1</v>
      </c>
      <c r="D108" s="434">
        <v>1</v>
      </c>
      <c r="E108" s="434">
        <v>1</v>
      </c>
      <c r="F108" s="434">
        <v>1</v>
      </c>
      <c r="G108" s="434">
        <v>1</v>
      </c>
      <c r="H108" s="434">
        <v>1</v>
      </c>
      <c r="I108" s="204"/>
    </row>
    <row r="109" spans="1:9">
      <c r="A109" s="426" t="s">
        <v>596</v>
      </c>
      <c r="B109" s="426" t="s">
        <v>295</v>
      </c>
      <c r="C109" s="434">
        <v>1</v>
      </c>
      <c r="D109" s="434">
        <v>1</v>
      </c>
      <c r="E109" s="434">
        <v>1</v>
      </c>
      <c r="F109" s="434">
        <v>1</v>
      </c>
      <c r="G109" s="434">
        <v>1</v>
      </c>
      <c r="H109" s="434">
        <v>1</v>
      </c>
      <c r="I109" s="204"/>
    </row>
    <row r="110" spans="1:9">
      <c r="A110" s="426" t="s">
        <v>597</v>
      </c>
      <c r="B110" s="426" t="s">
        <v>296</v>
      </c>
      <c r="C110" s="434">
        <v>1</v>
      </c>
      <c r="D110" s="434">
        <v>1</v>
      </c>
      <c r="E110" s="434">
        <v>1</v>
      </c>
      <c r="F110" s="434">
        <v>1</v>
      </c>
      <c r="G110" s="434">
        <v>1</v>
      </c>
      <c r="H110" s="434">
        <v>1</v>
      </c>
      <c r="I110" s="204"/>
    </row>
    <row r="111" spans="1:9">
      <c r="A111" s="426" t="s">
        <v>598</v>
      </c>
      <c r="B111" s="426" t="s">
        <v>297</v>
      </c>
      <c r="C111" s="434">
        <v>1</v>
      </c>
      <c r="D111" s="434">
        <v>1</v>
      </c>
      <c r="E111" s="434">
        <v>1</v>
      </c>
      <c r="F111" s="434">
        <v>1</v>
      </c>
      <c r="G111" s="434">
        <v>1</v>
      </c>
      <c r="H111" s="434">
        <v>1</v>
      </c>
      <c r="I111" s="204"/>
    </row>
    <row r="112" spans="1:9">
      <c r="A112" s="426" t="s">
        <v>599</v>
      </c>
      <c r="B112" s="426" t="s">
        <v>298</v>
      </c>
      <c r="C112" s="434">
        <v>1</v>
      </c>
      <c r="D112" s="434">
        <v>1</v>
      </c>
      <c r="E112" s="434">
        <v>1</v>
      </c>
      <c r="F112" s="434">
        <v>1</v>
      </c>
      <c r="G112" s="434">
        <v>1</v>
      </c>
      <c r="H112" s="434">
        <v>1</v>
      </c>
      <c r="I112" s="204"/>
    </row>
    <row r="113" spans="1:9">
      <c r="A113" s="426" t="s">
        <v>600</v>
      </c>
      <c r="B113" s="426" t="s">
        <v>299</v>
      </c>
      <c r="C113" s="434">
        <v>1</v>
      </c>
      <c r="D113" s="434">
        <v>1</v>
      </c>
      <c r="E113" s="434">
        <v>1</v>
      </c>
      <c r="F113" s="434">
        <v>1</v>
      </c>
      <c r="G113" s="434">
        <v>1</v>
      </c>
      <c r="H113" s="434">
        <v>1</v>
      </c>
      <c r="I113" s="204"/>
    </row>
    <row r="114" spans="1:9">
      <c r="A114" s="435" t="s">
        <v>601</v>
      </c>
      <c r="B114" s="435" t="s">
        <v>190</v>
      </c>
      <c r="C114" s="432">
        <v>1</v>
      </c>
      <c r="D114" s="432">
        <v>1</v>
      </c>
      <c r="E114" s="432">
        <v>1</v>
      </c>
      <c r="F114" s="432">
        <v>1</v>
      </c>
      <c r="G114" s="432">
        <v>1</v>
      </c>
      <c r="H114" s="432">
        <v>1</v>
      </c>
      <c r="I114" s="204"/>
    </row>
    <row r="115" spans="1:9">
      <c r="A115" s="426" t="s">
        <v>602</v>
      </c>
      <c r="B115" s="437" t="s">
        <v>300</v>
      </c>
      <c r="C115" s="434">
        <v>1</v>
      </c>
      <c r="D115" s="434">
        <v>1</v>
      </c>
      <c r="E115" s="434">
        <v>1</v>
      </c>
      <c r="F115" s="434">
        <v>1</v>
      </c>
      <c r="G115" s="434">
        <v>1</v>
      </c>
      <c r="H115" s="434">
        <v>1</v>
      </c>
      <c r="I115" s="204"/>
    </row>
    <row r="116" spans="1:9">
      <c r="A116" s="426" t="s">
        <v>603</v>
      </c>
      <c r="B116" s="437" t="s">
        <v>301</v>
      </c>
      <c r="C116" s="434">
        <v>1</v>
      </c>
      <c r="D116" s="434">
        <v>1</v>
      </c>
      <c r="E116" s="434">
        <v>1</v>
      </c>
      <c r="F116" s="434">
        <v>1</v>
      </c>
      <c r="G116" s="434">
        <v>1</v>
      </c>
      <c r="H116" s="434">
        <v>1</v>
      </c>
      <c r="I116" s="204"/>
    </row>
    <row r="117" spans="1:9">
      <c r="A117" s="426" t="s">
        <v>604</v>
      </c>
      <c r="B117" s="437" t="s">
        <v>302</v>
      </c>
      <c r="C117" s="434">
        <v>1</v>
      </c>
      <c r="D117" s="434">
        <v>1</v>
      </c>
      <c r="E117" s="434">
        <v>1</v>
      </c>
      <c r="F117" s="434">
        <v>1</v>
      </c>
      <c r="G117" s="434">
        <v>1</v>
      </c>
      <c r="H117" s="434">
        <v>1</v>
      </c>
      <c r="I117" s="204"/>
    </row>
    <row r="118" spans="1:9">
      <c r="A118" s="426" t="s">
        <v>605</v>
      </c>
      <c r="B118" s="437" t="s">
        <v>303</v>
      </c>
      <c r="C118" s="434">
        <v>1</v>
      </c>
      <c r="D118" s="434">
        <v>1</v>
      </c>
      <c r="E118" s="434">
        <v>1</v>
      </c>
      <c r="F118" s="434">
        <v>1</v>
      </c>
      <c r="G118" s="434">
        <v>1</v>
      </c>
      <c r="H118" s="434">
        <v>1</v>
      </c>
      <c r="I118" s="204"/>
    </row>
    <row r="119" spans="1:9">
      <c r="A119" s="426" t="s">
        <v>606</v>
      </c>
      <c r="B119" s="437" t="s">
        <v>304</v>
      </c>
      <c r="C119" s="434">
        <v>1</v>
      </c>
      <c r="D119" s="434">
        <v>1</v>
      </c>
      <c r="E119" s="434">
        <v>1</v>
      </c>
      <c r="F119" s="434">
        <v>1</v>
      </c>
      <c r="G119" s="434">
        <v>1</v>
      </c>
      <c r="H119" s="434">
        <v>1</v>
      </c>
      <c r="I119" s="204"/>
    </row>
    <row r="120" spans="1:9">
      <c r="A120" s="426" t="s">
        <v>607</v>
      </c>
      <c r="B120" s="437" t="s">
        <v>305</v>
      </c>
      <c r="C120" s="434">
        <v>1</v>
      </c>
      <c r="D120" s="434">
        <v>1</v>
      </c>
      <c r="E120" s="434">
        <v>1</v>
      </c>
      <c r="F120" s="434">
        <v>1</v>
      </c>
      <c r="G120" s="434">
        <v>1</v>
      </c>
      <c r="H120" s="434">
        <v>1</v>
      </c>
      <c r="I120" s="204"/>
    </row>
    <row r="121" spans="1:9">
      <c r="A121" s="426" t="s">
        <v>608</v>
      </c>
      <c r="B121" s="427" t="s">
        <v>306</v>
      </c>
      <c r="C121" s="434">
        <v>1</v>
      </c>
      <c r="D121" s="434">
        <v>1</v>
      </c>
      <c r="E121" s="434">
        <v>1</v>
      </c>
      <c r="F121" s="434">
        <v>1</v>
      </c>
      <c r="G121" s="434">
        <v>1</v>
      </c>
      <c r="H121" s="434">
        <v>1</v>
      </c>
      <c r="I121" s="204"/>
    </row>
    <row r="122" spans="1:9">
      <c r="A122" s="426" t="s">
        <v>609</v>
      </c>
      <c r="B122" s="427" t="s">
        <v>307</v>
      </c>
      <c r="C122" s="434">
        <v>1</v>
      </c>
      <c r="D122" s="434">
        <v>1</v>
      </c>
      <c r="E122" s="434">
        <v>1</v>
      </c>
      <c r="F122" s="434">
        <v>1</v>
      </c>
      <c r="G122" s="434">
        <v>1</v>
      </c>
      <c r="H122" s="434">
        <v>1</v>
      </c>
      <c r="I122" s="204"/>
    </row>
    <row r="123" spans="1:9">
      <c r="A123" s="426" t="s">
        <v>610</v>
      </c>
      <c r="B123" s="437" t="s">
        <v>308</v>
      </c>
      <c r="C123" s="434">
        <v>1</v>
      </c>
      <c r="D123" s="434">
        <v>1</v>
      </c>
      <c r="E123" s="434">
        <v>1</v>
      </c>
      <c r="F123" s="434">
        <v>1</v>
      </c>
      <c r="G123" s="434">
        <v>1</v>
      </c>
      <c r="H123" s="434">
        <v>1</v>
      </c>
      <c r="I123" s="204"/>
    </row>
    <row r="124" spans="1:9">
      <c r="A124" s="426" t="s">
        <v>611</v>
      </c>
      <c r="B124" s="427" t="s">
        <v>309</v>
      </c>
      <c r="C124" s="434">
        <v>1</v>
      </c>
      <c r="D124" s="434">
        <v>1</v>
      </c>
      <c r="E124" s="434">
        <v>1</v>
      </c>
      <c r="F124" s="434">
        <v>1</v>
      </c>
      <c r="G124" s="434">
        <v>1</v>
      </c>
      <c r="H124" s="434">
        <v>1</v>
      </c>
      <c r="I124" s="204"/>
    </row>
    <row r="125" spans="1:9">
      <c r="A125" s="426" t="s">
        <v>612</v>
      </c>
      <c r="B125" s="427" t="s">
        <v>310</v>
      </c>
      <c r="C125" s="434">
        <v>1</v>
      </c>
      <c r="D125" s="434">
        <v>1</v>
      </c>
      <c r="E125" s="434">
        <v>1</v>
      </c>
      <c r="F125" s="434">
        <v>1</v>
      </c>
      <c r="G125" s="434">
        <v>1</v>
      </c>
      <c r="H125" s="434">
        <v>1</v>
      </c>
      <c r="I125" s="204"/>
    </row>
    <row r="126" spans="1:9">
      <c r="A126" s="426" t="s">
        <v>613</v>
      </c>
      <c r="B126" s="427" t="s">
        <v>311</v>
      </c>
      <c r="C126" s="434">
        <v>1</v>
      </c>
      <c r="D126" s="434">
        <v>1</v>
      </c>
      <c r="E126" s="434">
        <v>1</v>
      </c>
      <c r="F126" s="434">
        <v>1</v>
      </c>
      <c r="G126" s="434">
        <v>1</v>
      </c>
      <c r="H126" s="434">
        <v>1</v>
      </c>
      <c r="I126" s="204"/>
    </row>
    <row r="127" spans="1:9">
      <c r="A127" s="426" t="s">
        <v>614</v>
      </c>
      <c r="B127" s="427" t="s">
        <v>312</v>
      </c>
      <c r="C127" s="434">
        <v>1</v>
      </c>
      <c r="D127" s="434">
        <v>1</v>
      </c>
      <c r="E127" s="434">
        <v>1</v>
      </c>
      <c r="F127" s="434">
        <v>1</v>
      </c>
      <c r="G127" s="434">
        <v>1</v>
      </c>
      <c r="H127" s="434">
        <v>1</v>
      </c>
      <c r="I127" s="204"/>
    </row>
    <row r="128" spans="1:9">
      <c r="A128" s="426" t="s">
        <v>615</v>
      </c>
      <c r="B128" s="427" t="s">
        <v>313</v>
      </c>
      <c r="C128" s="434">
        <v>1</v>
      </c>
      <c r="D128" s="434">
        <v>1</v>
      </c>
      <c r="E128" s="434">
        <v>1</v>
      </c>
      <c r="F128" s="434">
        <v>1</v>
      </c>
      <c r="G128" s="434">
        <v>1</v>
      </c>
      <c r="H128" s="434">
        <v>1</v>
      </c>
      <c r="I128" s="204"/>
    </row>
    <row r="129" spans="1:9">
      <c r="A129" s="426" t="s">
        <v>616</v>
      </c>
      <c r="B129" s="437" t="s">
        <v>314</v>
      </c>
      <c r="C129" s="434">
        <v>1</v>
      </c>
      <c r="D129" s="434">
        <v>1</v>
      </c>
      <c r="E129" s="434">
        <v>1</v>
      </c>
      <c r="F129" s="434">
        <v>1</v>
      </c>
      <c r="G129" s="434">
        <v>1</v>
      </c>
      <c r="H129" s="434">
        <v>1</v>
      </c>
      <c r="I129" s="204"/>
    </row>
    <row r="130" spans="1:9">
      <c r="A130" s="435" t="s">
        <v>617</v>
      </c>
      <c r="B130" s="435" t="s">
        <v>191</v>
      </c>
      <c r="C130" s="436">
        <v>1</v>
      </c>
      <c r="D130" s="436">
        <v>1</v>
      </c>
      <c r="E130" s="436">
        <v>1</v>
      </c>
      <c r="F130" s="436">
        <v>1</v>
      </c>
      <c r="G130" s="436">
        <v>1</v>
      </c>
      <c r="H130" s="436">
        <v>1</v>
      </c>
      <c r="I130" s="204"/>
    </row>
    <row r="131" spans="1:9">
      <c r="A131" s="426" t="s">
        <v>618</v>
      </c>
      <c r="B131" s="427" t="s">
        <v>315</v>
      </c>
      <c r="C131" s="434">
        <v>1</v>
      </c>
      <c r="D131" s="434">
        <v>1</v>
      </c>
      <c r="E131" s="434">
        <v>1</v>
      </c>
      <c r="F131" s="434">
        <v>1</v>
      </c>
      <c r="G131" s="434">
        <v>1</v>
      </c>
      <c r="H131" s="434">
        <v>1</v>
      </c>
      <c r="I131" s="204"/>
    </row>
    <row r="132" spans="1:9">
      <c r="A132" s="426" t="s">
        <v>619</v>
      </c>
      <c r="B132" s="427" t="s">
        <v>316</v>
      </c>
      <c r="C132" s="434">
        <v>1</v>
      </c>
      <c r="D132" s="434">
        <v>1</v>
      </c>
      <c r="E132" s="434">
        <v>1</v>
      </c>
      <c r="F132" s="434">
        <v>1</v>
      </c>
      <c r="G132" s="434">
        <v>1</v>
      </c>
      <c r="H132" s="434">
        <v>1</v>
      </c>
      <c r="I132" s="204"/>
    </row>
    <row r="133" spans="1:9">
      <c r="A133" s="426" t="s">
        <v>620</v>
      </c>
      <c r="B133" s="427" t="s">
        <v>317</v>
      </c>
      <c r="C133" s="434">
        <v>1</v>
      </c>
      <c r="D133" s="434">
        <v>1</v>
      </c>
      <c r="E133" s="434">
        <v>1</v>
      </c>
      <c r="F133" s="434">
        <v>1</v>
      </c>
      <c r="G133" s="434">
        <v>1</v>
      </c>
      <c r="H133" s="434">
        <v>1</v>
      </c>
      <c r="I133" s="204"/>
    </row>
    <row r="134" spans="1:9">
      <c r="A134" s="426" t="s">
        <v>621</v>
      </c>
      <c r="B134" s="427" t="s">
        <v>318</v>
      </c>
      <c r="C134" s="434">
        <v>1</v>
      </c>
      <c r="D134" s="434">
        <v>1</v>
      </c>
      <c r="E134" s="434">
        <v>1</v>
      </c>
      <c r="F134" s="434">
        <v>1</v>
      </c>
      <c r="G134" s="434">
        <v>1</v>
      </c>
      <c r="H134" s="434">
        <v>1</v>
      </c>
      <c r="I134" s="204"/>
    </row>
    <row r="135" spans="1:9">
      <c r="A135" s="418" t="s">
        <v>622</v>
      </c>
      <c r="B135" s="418" t="s">
        <v>192</v>
      </c>
      <c r="C135" s="432">
        <v>1</v>
      </c>
      <c r="D135" s="432">
        <v>1</v>
      </c>
      <c r="E135" s="432">
        <v>1</v>
      </c>
      <c r="F135" s="432">
        <v>1</v>
      </c>
      <c r="G135" s="432">
        <v>1</v>
      </c>
      <c r="H135" s="432">
        <v>1</v>
      </c>
      <c r="I135" s="204"/>
    </row>
    <row r="136" spans="1:9">
      <c r="A136" s="426" t="s">
        <v>623</v>
      </c>
      <c r="B136" s="426" t="s">
        <v>319</v>
      </c>
      <c r="C136" s="434">
        <v>1</v>
      </c>
      <c r="D136" s="434">
        <v>1</v>
      </c>
      <c r="E136" s="434">
        <v>1</v>
      </c>
      <c r="F136" s="434">
        <v>1</v>
      </c>
      <c r="G136" s="434">
        <v>1</v>
      </c>
      <c r="H136" s="434">
        <v>1</v>
      </c>
      <c r="I136" s="204"/>
    </row>
    <row r="137" spans="1:9">
      <c r="A137" s="426" t="s">
        <v>624</v>
      </c>
      <c r="B137" s="426" t="s">
        <v>320</v>
      </c>
      <c r="C137" s="434">
        <v>1</v>
      </c>
      <c r="D137" s="434">
        <v>1</v>
      </c>
      <c r="E137" s="434">
        <v>1</v>
      </c>
      <c r="F137" s="434">
        <v>1</v>
      </c>
      <c r="G137" s="434">
        <v>1</v>
      </c>
      <c r="H137" s="434">
        <v>1</v>
      </c>
      <c r="I137" s="204"/>
    </row>
    <row r="138" spans="1:9">
      <c r="A138" s="426" t="s">
        <v>625</v>
      </c>
      <c r="B138" s="426" t="s">
        <v>321</v>
      </c>
      <c r="C138" s="434">
        <v>1</v>
      </c>
      <c r="D138" s="434">
        <v>1</v>
      </c>
      <c r="E138" s="434">
        <v>1</v>
      </c>
      <c r="F138" s="434">
        <v>1</v>
      </c>
      <c r="G138" s="434">
        <v>1</v>
      </c>
      <c r="H138" s="434">
        <v>1</v>
      </c>
      <c r="I138" s="204"/>
    </row>
    <row r="139" spans="1:9">
      <c r="A139" s="426" t="s">
        <v>626</v>
      </c>
      <c r="B139" s="426" t="s">
        <v>322</v>
      </c>
      <c r="C139" s="434">
        <v>1</v>
      </c>
      <c r="D139" s="434">
        <v>1</v>
      </c>
      <c r="E139" s="434">
        <v>1</v>
      </c>
      <c r="F139" s="434">
        <v>1</v>
      </c>
      <c r="G139" s="434">
        <v>1</v>
      </c>
      <c r="H139" s="434">
        <v>1</v>
      </c>
      <c r="I139" s="204"/>
    </row>
    <row r="140" spans="1:9">
      <c r="A140" s="426" t="s">
        <v>627</v>
      </c>
      <c r="B140" s="426" t="s">
        <v>323</v>
      </c>
      <c r="C140" s="434">
        <v>1</v>
      </c>
      <c r="D140" s="434">
        <v>1</v>
      </c>
      <c r="E140" s="434">
        <v>1</v>
      </c>
      <c r="F140" s="434">
        <v>1</v>
      </c>
      <c r="G140" s="434">
        <v>1</v>
      </c>
      <c r="H140" s="434">
        <v>1</v>
      </c>
      <c r="I140" s="204"/>
    </row>
    <row r="141" spans="1:9">
      <c r="A141" s="426" t="s">
        <v>628</v>
      </c>
      <c r="B141" s="426" t="s">
        <v>324</v>
      </c>
      <c r="C141" s="434">
        <v>1</v>
      </c>
      <c r="D141" s="434">
        <v>1</v>
      </c>
      <c r="E141" s="434">
        <v>1</v>
      </c>
      <c r="F141" s="434">
        <v>1</v>
      </c>
      <c r="G141" s="434">
        <v>1</v>
      </c>
      <c r="H141" s="434">
        <v>1</v>
      </c>
      <c r="I141" s="204"/>
    </row>
    <row r="142" spans="1:9">
      <c r="A142" s="426" t="s">
        <v>629</v>
      </c>
      <c r="B142" s="426" t="s">
        <v>325</v>
      </c>
      <c r="C142" s="434">
        <v>1</v>
      </c>
      <c r="D142" s="434">
        <v>1</v>
      </c>
      <c r="E142" s="434">
        <v>1</v>
      </c>
      <c r="F142" s="434">
        <v>1</v>
      </c>
      <c r="G142" s="434">
        <v>1</v>
      </c>
      <c r="H142" s="434">
        <v>1</v>
      </c>
      <c r="I142" s="204"/>
    </row>
    <row r="143" spans="1:9">
      <c r="A143" s="426" t="s">
        <v>630</v>
      </c>
      <c r="B143" s="420" t="s">
        <v>326</v>
      </c>
      <c r="C143" s="434">
        <v>1</v>
      </c>
      <c r="D143" s="434">
        <v>1</v>
      </c>
      <c r="E143" s="434">
        <v>1</v>
      </c>
      <c r="F143" s="434">
        <v>1</v>
      </c>
      <c r="G143" s="434">
        <v>1</v>
      </c>
      <c r="H143" s="434">
        <v>1</v>
      </c>
      <c r="I143" s="204"/>
    </row>
    <row r="144" spans="1:9">
      <c r="A144" s="426" t="s">
        <v>631</v>
      </c>
      <c r="B144" s="420" t="s">
        <v>327</v>
      </c>
      <c r="C144" s="434">
        <v>1</v>
      </c>
      <c r="D144" s="434">
        <v>1</v>
      </c>
      <c r="E144" s="434">
        <v>1</v>
      </c>
      <c r="F144" s="434">
        <v>1</v>
      </c>
      <c r="G144" s="434">
        <v>1</v>
      </c>
      <c r="H144" s="434">
        <v>1</v>
      </c>
      <c r="I144" s="204"/>
    </row>
    <row r="145" spans="1:9">
      <c r="A145" s="435" t="s">
        <v>632</v>
      </c>
      <c r="B145" s="435" t="s">
        <v>328</v>
      </c>
      <c r="C145" s="436"/>
      <c r="D145" s="436"/>
      <c r="E145" s="436"/>
      <c r="F145" s="436"/>
      <c r="G145" s="436"/>
      <c r="H145" s="436"/>
      <c r="I145" s="204"/>
    </row>
    <row r="146" spans="1:9">
      <c r="A146" s="435" t="s">
        <v>633</v>
      </c>
      <c r="B146" s="435" t="s">
        <v>193</v>
      </c>
      <c r="C146" s="432">
        <v>1</v>
      </c>
      <c r="D146" s="432">
        <v>1</v>
      </c>
      <c r="E146" s="432">
        <v>1</v>
      </c>
      <c r="F146" s="432">
        <v>1</v>
      </c>
      <c r="G146" s="432">
        <v>1</v>
      </c>
      <c r="H146" s="432">
        <v>1</v>
      </c>
      <c r="I146" s="204"/>
    </row>
    <row r="147" spans="1:9" ht="24">
      <c r="A147" s="426" t="s">
        <v>634</v>
      </c>
      <c r="B147" s="426" t="s">
        <v>329</v>
      </c>
      <c r="C147" s="434">
        <v>1</v>
      </c>
      <c r="D147" s="434">
        <v>1</v>
      </c>
      <c r="E147" s="434">
        <v>1</v>
      </c>
      <c r="F147" s="434">
        <v>1</v>
      </c>
      <c r="G147" s="434">
        <v>1</v>
      </c>
      <c r="H147" s="434">
        <v>1</v>
      </c>
      <c r="I147" s="204"/>
    </row>
    <row r="148" spans="1:9" ht="24">
      <c r="A148" s="426" t="s">
        <v>635</v>
      </c>
      <c r="B148" s="426" t="s">
        <v>330</v>
      </c>
      <c r="C148" s="434">
        <v>1</v>
      </c>
      <c r="D148" s="434">
        <v>1</v>
      </c>
      <c r="E148" s="434">
        <v>1</v>
      </c>
      <c r="F148" s="434">
        <v>1</v>
      </c>
      <c r="G148" s="434">
        <v>1</v>
      </c>
      <c r="H148" s="434">
        <v>1</v>
      </c>
      <c r="I148" s="204"/>
    </row>
    <row r="149" spans="1:9" ht="24">
      <c r="A149" s="426" t="s">
        <v>636</v>
      </c>
      <c r="B149" s="426" t="s">
        <v>331</v>
      </c>
      <c r="C149" s="434">
        <v>1</v>
      </c>
      <c r="D149" s="434">
        <v>1</v>
      </c>
      <c r="E149" s="434">
        <v>1</v>
      </c>
      <c r="F149" s="434">
        <v>1</v>
      </c>
      <c r="G149" s="434">
        <v>1</v>
      </c>
      <c r="H149" s="434">
        <v>1</v>
      </c>
      <c r="I149" s="204"/>
    </row>
    <row r="150" spans="1:9" ht="36">
      <c r="A150" s="426" t="s">
        <v>637</v>
      </c>
      <c r="B150" s="426" t="s">
        <v>332</v>
      </c>
      <c r="C150" s="434">
        <v>1</v>
      </c>
      <c r="D150" s="434">
        <v>1</v>
      </c>
      <c r="E150" s="434">
        <v>1</v>
      </c>
      <c r="F150" s="434">
        <v>1</v>
      </c>
      <c r="G150" s="434">
        <v>1</v>
      </c>
      <c r="H150" s="434">
        <v>1</v>
      </c>
      <c r="I150" s="204"/>
    </row>
    <row r="151" spans="1:9" ht="36">
      <c r="A151" s="426" t="s">
        <v>638</v>
      </c>
      <c r="B151" s="426" t="s">
        <v>333</v>
      </c>
      <c r="C151" s="434">
        <v>1</v>
      </c>
      <c r="D151" s="434">
        <v>1</v>
      </c>
      <c r="E151" s="434">
        <v>1</v>
      </c>
      <c r="F151" s="434">
        <v>1</v>
      </c>
      <c r="G151" s="434">
        <v>1</v>
      </c>
      <c r="H151" s="434">
        <v>1</v>
      </c>
      <c r="I151" s="204"/>
    </row>
    <row r="152" spans="1:9" ht="36">
      <c r="A152" s="426" t="s">
        <v>639</v>
      </c>
      <c r="B152" s="426" t="s">
        <v>334</v>
      </c>
      <c r="C152" s="434">
        <v>1</v>
      </c>
      <c r="D152" s="434">
        <v>1</v>
      </c>
      <c r="E152" s="434">
        <v>1</v>
      </c>
      <c r="F152" s="434">
        <v>1</v>
      </c>
      <c r="G152" s="434">
        <v>1</v>
      </c>
      <c r="H152" s="434">
        <v>1</v>
      </c>
      <c r="I152" s="204"/>
    </row>
    <row r="153" spans="1:9" ht="36">
      <c r="A153" s="426" t="s">
        <v>640</v>
      </c>
      <c r="B153" s="426" t="s">
        <v>335</v>
      </c>
      <c r="C153" s="434">
        <v>1</v>
      </c>
      <c r="D153" s="434">
        <v>1</v>
      </c>
      <c r="E153" s="434">
        <v>1</v>
      </c>
      <c r="F153" s="434">
        <v>1</v>
      </c>
      <c r="G153" s="434">
        <v>1</v>
      </c>
      <c r="H153" s="434">
        <v>1</v>
      </c>
      <c r="I153" s="204"/>
    </row>
    <row r="154" spans="1:9" ht="48">
      <c r="A154" s="426" t="s">
        <v>641</v>
      </c>
      <c r="B154" s="426" t="s">
        <v>336</v>
      </c>
      <c r="C154" s="434">
        <v>1</v>
      </c>
      <c r="D154" s="434">
        <v>1</v>
      </c>
      <c r="E154" s="434">
        <v>1</v>
      </c>
      <c r="F154" s="434">
        <v>1</v>
      </c>
      <c r="G154" s="434">
        <v>1</v>
      </c>
      <c r="H154" s="434">
        <v>1</v>
      </c>
      <c r="I154" s="204"/>
    </row>
    <row r="155" spans="1:9" ht="48">
      <c r="A155" s="426" t="s">
        <v>642</v>
      </c>
      <c r="B155" s="426" t="s">
        <v>337</v>
      </c>
      <c r="C155" s="434">
        <v>1</v>
      </c>
      <c r="D155" s="434">
        <v>1</v>
      </c>
      <c r="E155" s="434">
        <v>1</v>
      </c>
      <c r="F155" s="434">
        <v>1</v>
      </c>
      <c r="G155" s="434">
        <v>1</v>
      </c>
      <c r="H155" s="434">
        <v>1</v>
      </c>
      <c r="I155" s="204"/>
    </row>
    <row r="156" spans="1:9" ht="48">
      <c r="A156" s="426" t="s">
        <v>643</v>
      </c>
      <c r="B156" s="426" t="s">
        <v>338</v>
      </c>
      <c r="C156" s="434">
        <v>1</v>
      </c>
      <c r="D156" s="434">
        <v>1</v>
      </c>
      <c r="E156" s="434">
        <v>1</v>
      </c>
      <c r="F156" s="434">
        <v>1</v>
      </c>
      <c r="G156" s="434">
        <v>1</v>
      </c>
      <c r="H156" s="434">
        <v>1</v>
      </c>
      <c r="I156" s="204"/>
    </row>
    <row r="157" spans="1:9" ht="36">
      <c r="A157" s="426" t="s">
        <v>644</v>
      </c>
      <c r="B157" s="426" t="s">
        <v>339</v>
      </c>
      <c r="C157" s="434">
        <v>1</v>
      </c>
      <c r="D157" s="434">
        <v>1</v>
      </c>
      <c r="E157" s="434">
        <v>1</v>
      </c>
      <c r="F157" s="434">
        <v>1</v>
      </c>
      <c r="G157" s="434">
        <v>1</v>
      </c>
      <c r="H157" s="434">
        <v>1</v>
      </c>
      <c r="I157" s="204"/>
    </row>
    <row r="158" spans="1:9" ht="36">
      <c r="A158" s="426" t="s">
        <v>645</v>
      </c>
      <c r="B158" s="426" t="s">
        <v>340</v>
      </c>
      <c r="C158" s="434">
        <v>1</v>
      </c>
      <c r="D158" s="434">
        <v>1</v>
      </c>
      <c r="E158" s="434">
        <v>1</v>
      </c>
      <c r="F158" s="434">
        <v>1</v>
      </c>
      <c r="G158" s="434">
        <v>1</v>
      </c>
      <c r="H158" s="434">
        <v>1</v>
      </c>
      <c r="I158" s="204"/>
    </row>
    <row r="159" spans="1:9" ht="36">
      <c r="A159" s="426" t="s">
        <v>646</v>
      </c>
      <c r="B159" s="426" t="s">
        <v>341</v>
      </c>
      <c r="C159" s="434">
        <v>1</v>
      </c>
      <c r="D159" s="434">
        <v>1</v>
      </c>
      <c r="E159" s="434">
        <v>1</v>
      </c>
      <c r="F159" s="434">
        <v>1</v>
      </c>
      <c r="G159" s="434">
        <v>1</v>
      </c>
      <c r="H159" s="434">
        <v>1</v>
      </c>
      <c r="I159" s="204"/>
    </row>
    <row r="160" spans="1:9" ht="36">
      <c r="A160" s="426" t="s">
        <v>647</v>
      </c>
      <c r="B160" s="426" t="s">
        <v>342</v>
      </c>
      <c r="C160" s="434">
        <v>1</v>
      </c>
      <c r="D160" s="434">
        <v>1</v>
      </c>
      <c r="E160" s="434">
        <v>1</v>
      </c>
      <c r="F160" s="434">
        <v>1</v>
      </c>
      <c r="G160" s="434">
        <v>1</v>
      </c>
      <c r="H160" s="434">
        <v>1</v>
      </c>
      <c r="I160" s="204"/>
    </row>
    <row r="161" spans="1:9">
      <c r="A161" s="435" t="s">
        <v>648</v>
      </c>
      <c r="B161" s="435" t="s">
        <v>194</v>
      </c>
      <c r="C161" s="432">
        <v>1</v>
      </c>
      <c r="D161" s="432">
        <v>1</v>
      </c>
      <c r="E161" s="432">
        <v>1</v>
      </c>
      <c r="F161" s="432">
        <v>1</v>
      </c>
      <c r="G161" s="432">
        <v>1</v>
      </c>
      <c r="H161" s="432">
        <v>1</v>
      </c>
      <c r="I161" s="204"/>
    </row>
    <row r="162" spans="1:9" ht="60">
      <c r="A162" s="426" t="s">
        <v>649</v>
      </c>
      <c r="B162" s="426" t="s">
        <v>343</v>
      </c>
      <c r="C162" s="434">
        <v>1</v>
      </c>
      <c r="D162" s="434">
        <v>1</v>
      </c>
      <c r="E162" s="434">
        <v>1</v>
      </c>
      <c r="F162" s="434">
        <v>1</v>
      </c>
      <c r="G162" s="434">
        <v>1</v>
      </c>
      <c r="H162" s="434">
        <v>1</v>
      </c>
      <c r="I162" s="204"/>
    </row>
    <row r="163" spans="1:9" ht="60">
      <c r="A163" s="426" t="s">
        <v>650</v>
      </c>
      <c r="B163" s="426" t="s">
        <v>344</v>
      </c>
      <c r="C163" s="434">
        <v>1</v>
      </c>
      <c r="D163" s="434">
        <v>1</v>
      </c>
      <c r="E163" s="434">
        <v>1</v>
      </c>
      <c r="F163" s="434">
        <v>1</v>
      </c>
      <c r="G163" s="434">
        <v>1</v>
      </c>
      <c r="H163" s="434">
        <v>1</v>
      </c>
      <c r="I163" s="204"/>
    </row>
    <row r="164" spans="1:9" ht="60">
      <c r="A164" s="426" t="s">
        <v>651</v>
      </c>
      <c r="B164" s="426" t="s">
        <v>345</v>
      </c>
      <c r="C164" s="434">
        <v>1</v>
      </c>
      <c r="D164" s="434">
        <v>1</v>
      </c>
      <c r="E164" s="434">
        <v>1</v>
      </c>
      <c r="F164" s="434">
        <v>1</v>
      </c>
      <c r="G164" s="434">
        <v>1</v>
      </c>
      <c r="H164" s="434">
        <v>1</v>
      </c>
      <c r="I164" s="204"/>
    </row>
    <row r="165" spans="1:9" ht="60">
      <c r="A165" s="426" t="s">
        <v>652</v>
      </c>
      <c r="B165" s="426" t="s">
        <v>346</v>
      </c>
      <c r="C165" s="434">
        <v>1</v>
      </c>
      <c r="D165" s="434">
        <v>1</v>
      </c>
      <c r="E165" s="434">
        <v>1</v>
      </c>
      <c r="F165" s="434">
        <v>1</v>
      </c>
      <c r="G165" s="434">
        <v>1</v>
      </c>
      <c r="H165" s="434">
        <v>1</v>
      </c>
      <c r="I165" s="204"/>
    </row>
    <row r="166" spans="1:9" ht="60">
      <c r="A166" s="426" t="s">
        <v>653</v>
      </c>
      <c r="B166" s="426" t="s">
        <v>347</v>
      </c>
      <c r="C166" s="434">
        <v>1</v>
      </c>
      <c r="D166" s="434">
        <v>1</v>
      </c>
      <c r="E166" s="434">
        <v>1</v>
      </c>
      <c r="F166" s="434">
        <v>1</v>
      </c>
      <c r="G166" s="434">
        <v>1</v>
      </c>
      <c r="H166" s="434">
        <v>1</v>
      </c>
      <c r="I166" s="204"/>
    </row>
    <row r="167" spans="1:9" ht="60">
      <c r="A167" s="426" t="s">
        <v>654</v>
      </c>
      <c r="B167" s="426" t="s">
        <v>348</v>
      </c>
      <c r="C167" s="434">
        <v>1</v>
      </c>
      <c r="D167" s="434">
        <v>1</v>
      </c>
      <c r="E167" s="434">
        <v>1</v>
      </c>
      <c r="F167" s="434">
        <v>1</v>
      </c>
      <c r="G167" s="434">
        <v>1</v>
      </c>
      <c r="H167" s="434">
        <v>1</v>
      </c>
      <c r="I167" s="204"/>
    </row>
    <row r="168" spans="1:9" ht="60">
      <c r="A168" s="426" t="s">
        <v>655</v>
      </c>
      <c r="B168" s="426" t="s">
        <v>349</v>
      </c>
      <c r="C168" s="434">
        <v>1</v>
      </c>
      <c r="D168" s="434">
        <v>1</v>
      </c>
      <c r="E168" s="434">
        <v>1</v>
      </c>
      <c r="F168" s="434">
        <v>1</v>
      </c>
      <c r="G168" s="434">
        <v>1</v>
      </c>
      <c r="H168" s="434">
        <v>1</v>
      </c>
      <c r="I168" s="204"/>
    </row>
    <row r="169" spans="1:9" ht="60">
      <c r="A169" s="426" t="s">
        <v>656</v>
      </c>
      <c r="B169" s="426" t="s">
        <v>350</v>
      </c>
      <c r="C169" s="434">
        <v>1</v>
      </c>
      <c r="D169" s="434">
        <v>1</v>
      </c>
      <c r="E169" s="434">
        <v>1</v>
      </c>
      <c r="F169" s="434">
        <v>1</v>
      </c>
      <c r="G169" s="434">
        <v>1</v>
      </c>
      <c r="H169" s="434">
        <v>1</v>
      </c>
      <c r="I169" s="204"/>
    </row>
    <row r="170" spans="1:9">
      <c r="A170" s="435" t="s">
        <v>657</v>
      </c>
      <c r="B170" s="435" t="s">
        <v>195</v>
      </c>
      <c r="C170" s="432">
        <v>1</v>
      </c>
      <c r="D170" s="432">
        <v>1</v>
      </c>
      <c r="E170" s="432">
        <v>1</v>
      </c>
      <c r="F170" s="432">
        <v>1</v>
      </c>
      <c r="G170" s="432">
        <v>1</v>
      </c>
      <c r="H170" s="432">
        <v>1</v>
      </c>
      <c r="I170" s="204"/>
    </row>
    <row r="171" spans="1:9" ht="48">
      <c r="A171" s="426" t="s">
        <v>658</v>
      </c>
      <c r="B171" s="426" t="s">
        <v>351</v>
      </c>
      <c r="C171" s="434">
        <v>1</v>
      </c>
      <c r="D171" s="434">
        <v>1</v>
      </c>
      <c r="E171" s="434">
        <v>1</v>
      </c>
      <c r="F171" s="434">
        <v>1</v>
      </c>
      <c r="G171" s="434">
        <v>1</v>
      </c>
      <c r="H171" s="434">
        <v>1</v>
      </c>
      <c r="I171" s="204"/>
    </row>
    <row r="172" spans="1:9" ht="48">
      <c r="A172" s="426" t="s">
        <v>659</v>
      </c>
      <c r="B172" s="426" t="s">
        <v>352</v>
      </c>
      <c r="C172" s="434">
        <v>1</v>
      </c>
      <c r="D172" s="434">
        <v>1</v>
      </c>
      <c r="E172" s="434">
        <v>1</v>
      </c>
      <c r="F172" s="434">
        <v>1</v>
      </c>
      <c r="G172" s="434">
        <v>1</v>
      </c>
      <c r="H172" s="434">
        <v>1</v>
      </c>
      <c r="I172" s="204"/>
    </row>
    <row r="173" spans="1:9" ht="48">
      <c r="A173" s="426" t="s">
        <v>660</v>
      </c>
      <c r="B173" s="426" t="s">
        <v>353</v>
      </c>
      <c r="C173" s="434">
        <v>1</v>
      </c>
      <c r="D173" s="434">
        <v>1</v>
      </c>
      <c r="E173" s="434">
        <v>1</v>
      </c>
      <c r="F173" s="434">
        <v>1</v>
      </c>
      <c r="G173" s="434">
        <v>1</v>
      </c>
      <c r="H173" s="434">
        <v>1</v>
      </c>
      <c r="I173" s="204"/>
    </row>
    <row r="174" spans="1:9">
      <c r="A174" s="435" t="s">
        <v>661</v>
      </c>
      <c r="B174" s="435" t="s">
        <v>196</v>
      </c>
      <c r="C174" s="432">
        <v>1</v>
      </c>
      <c r="D174" s="432">
        <v>1</v>
      </c>
      <c r="E174" s="432">
        <v>1</v>
      </c>
      <c r="F174" s="432">
        <v>1</v>
      </c>
      <c r="G174" s="432">
        <v>1</v>
      </c>
      <c r="H174" s="432">
        <v>1</v>
      </c>
      <c r="I174" s="204"/>
    </row>
    <row r="175" spans="1:9" ht="48">
      <c r="A175" s="426" t="s">
        <v>662</v>
      </c>
      <c r="B175" s="426" t="s">
        <v>354</v>
      </c>
      <c r="C175" s="434">
        <v>1</v>
      </c>
      <c r="D175" s="434">
        <v>1</v>
      </c>
      <c r="E175" s="434">
        <v>1</v>
      </c>
      <c r="F175" s="434">
        <v>1</v>
      </c>
      <c r="G175" s="434">
        <v>1</v>
      </c>
      <c r="H175" s="434">
        <v>1</v>
      </c>
      <c r="I175" s="204"/>
    </row>
    <row r="176" spans="1:9">
      <c r="A176" s="435" t="s">
        <v>663</v>
      </c>
      <c r="B176" s="435" t="s">
        <v>133</v>
      </c>
      <c r="C176" s="436">
        <v>1</v>
      </c>
      <c r="D176" s="436">
        <v>1</v>
      </c>
      <c r="E176" s="436">
        <v>1</v>
      </c>
      <c r="F176" s="436">
        <v>1</v>
      </c>
      <c r="G176" s="436">
        <v>1</v>
      </c>
      <c r="H176" s="436">
        <v>1</v>
      </c>
      <c r="I176" s="204"/>
    </row>
    <row r="177" spans="1:9">
      <c r="A177" s="429">
        <v>4</v>
      </c>
      <c r="B177" s="429" t="s">
        <v>9</v>
      </c>
      <c r="C177" s="409"/>
      <c r="D177" s="409"/>
      <c r="E177" s="409"/>
      <c r="F177" s="409"/>
      <c r="G177" s="409"/>
      <c r="H177" s="409"/>
      <c r="I177" s="204"/>
    </row>
    <row r="178" spans="1:9">
      <c r="A178" s="435" t="s">
        <v>408</v>
      </c>
      <c r="B178" s="418" t="s">
        <v>409</v>
      </c>
      <c r="C178" s="438">
        <v>15000</v>
      </c>
      <c r="D178" s="438">
        <v>11000</v>
      </c>
      <c r="E178" s="438">
        <v>20000</v>
      </c>
      <c r="F178" s="438">
        <v>7000</v>
      </c>
      <c r="G178" s="438">
        <v>20000</v>
      </c>
      <c r="H178" s="438">
        <v>2000</v>
      </c>
      <c r="I178" s="204"/>
    </row>
    <row r="179" spans="1:9">
      <c r="A179" s="435">
        <v>4.0999999999999996</v>
      </c>
      <c r="B179" s="418" t="s">
        <v>355</v>
      </c>
      <c r="C179" s="419" t="s">
        <v>35</v>
      </c>
      <c r="D179" s="419" t="s">
        <v>35</v>
      </c>
      <c r="E179" s="419" t="s">
        <v>35</v>
      </c>
      <c r="F179" s="419" t="s">
        <v>35</v>
      </c>
      <c r="G179" s="419" t="s">
        <v>35</v>
      </c>
      <c r="H179" s="419" t="s">
        <v>35</v>
      </c>
      <c r="I179" s="204"/>
    </row>
    <row r="180" spans="1:9">
      <c r="A180" s="427" t="s">
        <v>10</v>
      </c>
      <c r="B180" s="427" t="s">
        <v>137</v>
      </c>
      <c r="C180" s="439">
        <v>2964</v>
      </c>
      <c r="D180" s="439">
        <v>38400</v>
      </c>
      <c r="E180" s="439">
        <v>7737</v>
      </c>
      <c r="F180" s="439">
        <v>1866.7</v>
      </c>
      <c r="G180" s="439">
        <v>1937.1</v>
      </c>
      <c r="H180" s="439">
        <v>5040</v>
      </c>
      <c r="I180" s="204"/>
    </row>
    <row r="181" spans="1:9">
      <c r="A181" s="427" t="s">
        <v>12</v>
      </c>
      <c r="B181" s="420" t="s">
        <v>37</v>
      </c>
      <c r="C181" s="439">
        <v>4752</v>
      </c>
      <c r="D181" s="439">
        <v>39200</v>
      </c>
      <c r="E181" s="439">
        <v>10110</v>
      </c>
      <c r="F181" s="439">
        <v>3247.7</v>
      </c>
      <c r="G181" s="439">
        <v>3512.1000000000004</v>
      </c>
      <c r="H181" s="439">
        <v>9138</v>
      </c>
      <c r="I181" s="204"/>
    </row>
    <row r="182" spans="1:9">
      <c r="A182" s="427" t="s">
        <v>14</v>
      </c>
      <c r="B182" s="420" t="s">
        <v>39</v>
      </c>
      <c r="C182" s="439">
        <v>8109</v>
      </c>
      <c r="D182" s="439">
        <v>39760</v>
      </c>
      <c r="E182" s="439">
        <v>11875</v>
      </c>
      <c r="F182" s="439">
        <v>6233</v>
      </c>
      <c r="G182" s="439">
        <v>6679.7000000000007</v>
      </c>
      <c r="H182" s="439">
        <v>9601</v>
      </c>
      <c r="I182" s="204"/>
    </row>
    <row r="183" spans="1:9">
      <c r="A183" s="427" t="s">
        <v>16</v>
      </c>
      <c r="B183" s="420" t="s">
        <v>40</v>
      </c>
      <c r="C183" s="439">
        <v>13780</v>
      </c>
      <c r="D183" s="439">
        <v>40000</v>
      </c>
      <c r="E183" s="439">
        <v>13261</v>
      </c>
      <c r="F183" s="439">
        <v>12169</v>
      </c>
      <c r="G183" s="439">
        <v>13053</v>
      </c>
      <c r="H183" s="439">
        <v>9816</v>
      </c>
      <c r="I183" s="204"/>
    </row>
    <row r="184" spans="1:9">
      <c r="A184" s="427" t="s">
        <v>18</v>
      </c>
      <c r="B184" s="420" t="s">
        <v>41</v>
      </c>
      <c r="C184" s="439">
        <v>19610</v>
      </c>
      <c r="D184" s="439">
        <v>40000</v>
      </c>
      <c r="E184" s="439">
        <v>14139</v>
      </c>
      <c r="F184" s="439">
        <v>21722</v>
      </c>
      <c r="G184" s="439">
        <v>25667</v>
      </c>
      <c r="H184" s="439">
        <v>9844</v>
      </c>
      <c r="I184" s="204"/>
    </row>
    <row r="185" spans="1:9">
      <c r="A185" s="427" t="s">
        <v>138</v>
      </c>
      <c r="B185" s="420" t="s">
        <v>42</v>
      </c>
      <c r="C185" s="439">
        <v>19370</v>
      </c>
      <c r="D185" s="439">
        <v>40000</v>
      </c>
      <c r="E185" s="439">
        <v>14439</v>
      </c>
      <c r="F185" s="439">
        <v>21698</v>
      </c>
      <c r="G185" s="439">
        <v>33152</v>
      </c>
      <c r="H185" s="439">
        <v>9844</v>
      </c>
      <c r="I185" s="204"/>
    </row>
    <row r="186" spans="1:9">
      <c r="A186" s="435">
        <v>4.2</v>
      </c>
      <c r="B186" s="435" t="s">
        <v>43</v>
      </c>
      <c r="C186" s="440" t="s">
        <v>147</v>
      </c>
      <c r="D186" s="440" t="s">
        <v>147</v>
      </c>
      <c r="E186" s="440" t="s">
        <v>147</v>
      </c>
      <c r="F186" s="440" t="s">
        <v>147</v>
      </c>
      <c r="G186" s="440" t="s">
        <v>147</v>
      </c>
      <c r="H186" s="440" t="s">
        <v>147</v>
      </c>
      <c r="I186" s="204"/>
    </row>
    <row r="187" spans="1:9">
      <c r="A187" s="427" t="s">
        <v>20</v>
      </c>
      <c r="B187" s="427" t="s">
        <v>137</v>
      </c>
      <c r="C187" s="441">
        <v>108.00949999999999</v>
      </c>
      <c r="D187" s="441">
        <v>3.8807500000000004</v>
      </c>
      <c r="E187" s="441">
        <v>5.9879999999999995</v>
      </c>
      <c r="F187" s="441">
        <v>7.4867500000000007</v>
      </c>
      <c r="G187" s="441">
        <v>6.3895</v>
      </c>
      <c r="H187" s="441">
        <v>14.576666666666668</v>
      </c>
      <c r="I187" s="204"/>
    </row>
    <row r="188" spans="1:9">
      <c r="A188" s="427" t="s">
        <v>22</v>
      </c>
      <c r="B188" s="442" t="s">
        <v>37</v>
      </c>
      <c r="C188" s="441">
        <v>103.88124999999999</v>
      </c>
      <c r="D188" s="441">
        <v>4.0265000000000004</v>
      </c>
      <c r="E188" s="441">
        <v>5.976375</v>
      </c>
      <c r="F188" s="441">
        <v>8.206999999999999</v>
      </c>
      <c r="G188" s="441">
        <v>7.4452499999999988</v>
      </c>
      <c r="H188" s="441">
        <v>15.631750000000002</v>
      </c>
      <c r="I188" s="204"/>
    </row>
    <row r="189" spans="1:9">
      <c r="A189" s="427" t="s">
        <v>24</v>
      </c>
      <c r="B189" s="442" t="s">
        <v>39</v>
      </c>
      <c r="C189" s="441">
        <v>104.295</v>
      </c>
      <c r="D189" s="441">
        <v>4.4377500000000003</v>
      </c>
      <c r="E189" s="441">
        <v>6.2072500000000002</v>
      </c>
      <c r="F189" s="441">
        <v>8.8109999999999999</v>
      </c>
      <c r="G189" s="441">
        <v>7.8101249999999993</v>
      </c>
      <c r="H189" s="441">
        <v>17.389083333333335</v>
      </c>
      <c r="I189" s="204"/>
    </row>
    <row r="190" spans="1:9">
      <c r="A190" s="427" t="s">
        <v>26</v>
      </c>
      <c r="B190" s="427" t="s">
        <v>40</v>
      </c>
      <c r="C190" s="441">
        <v>107.77350000000001</v>
      </c>
      <c r="D190" s="441">
        <v>5.0992499999999996</v>
      </c>
      <c r="E190" s="441">
        <v>7.2056250000000004</v>
      </c>
      <c r="F190" s="441">
        <v>9.6892500000000013</v>
      </c>
      <c r="G190" s="441">
        <v>7.5092499999999998</v>
      </c>
      <c r="H190" s="441">
        <v>20.683</v>
      </c>
      <c r="I190" s="204"/>
    </row>
    <row r="191" spans="1:9">
      <c r="A191" s="427" t="s">
        <v>28</v>
      </c>
      <c r="B191" s="427" t="s">
        <v>41</v>
      </c>
      <c r="C191" s="441">
        <v>113.77754999999999</v>
      </c>
      <c r="D191" s="441">
        <v>6.4452500000000006</v>
      </c>
      <c r="E191" s="441">
        <v>9.2341250000000006</v>
      </c>
      <c r="F191" s="441">
        <v>10.632</v>
      </c>
      <c r="G191" s="441">
        <v>8.6751250000000013</v>
      </c>
      <c r="H191" s="441">
        <v>26.791333333333338</v>
      </c>
      <c r="I191" s="204"/>
    </row>
    <row r="192" spans="1:9">
      <c r="A192" s="427" t="s">
        <v>139</v>
      </c>
      <c r="B192" s="427" t="s">
        <v>42</v>
      </c>
      <c r="C192" s="441">
        <v>113.4165</v>
      </c>
      <c r="D192" s="441">
        <v>7.6897500000000001</v>
      </c>
      <c r="E192" s="441">
        <v>11.660499999999999</v>
      </c>
      <c r="F192" s="441">
        <v>10.558249999999999</v>
      </c>
      <c r="G192" s="441">
        <v>10.237875000000001</v>
      </c>
      <c r="H192" s="441">
        <v>32.582749999999997</v>
      </c>
      <c r="I192" s="204"/>
    </row>
    <row r="193" spans="1:9">
      <c r="A193" s="418">
        <v>4.3</v>
      </c>
      <c r="B193" s="418" t="s">
        <v>356</v>
      </c>
      <c r="C193" s="419"/>
      <c r="D193" s="419"/>
      <c r="E193" s="419"/>
      <c r="F193" s="419"/>
      <c r="G193" s="419"/>
      <c r="H193" s="419"/>
      <c r="I193" s="204"/>
    </row>
    <row r="194" spans="1:9">
      <c r="A194" s="426" t="s">
        <v>30</v>
      </c>
      <c r="B194" s="426" t="s">
        <v>11</v>
      </c>
      <c r="C194" s="443">
        <v>19244910</v>
      </c>
      <c r="D194" s="443">
        <v>2349819</v>
      </c>
      <c r="E194" s="443">
        <v>60000000</v>
      </c>
      <c r="F194" s="443">
        <v>3284804</v>
      </c>
      <c r="G194" s="443">
        <v>20000000</v>
      </c>
      <c r="H194" s="443">
        <v>828753</v>
      </c>
      <c r="I194" s="204"/>
    </row>
    <row r="195" spans="1:9">
      <c r="A195" s="426" t="s">
        <v>31</v>
      </c>
      <c r="B195" s="420" t="s">
        <v>13</v>
      </c>
      <c r="C195" s="443">
        <v>18098077</v>
      </c>
      <c r="D195" s="443">
        <v>5457340</v>
      </c>
      <c r="E195" s="443">
        <v>60000000</v>
      </c>
      <c r="F195" s="443">
        <v>3284783</v>
      </c>
      <c r="G195" s="443">
        <v>20000000</v>
      </c>
      <c r="H195" s="443">
        <v>750611</v>
      </c>
      <c r="I195" s="204"/>
    </row>
    <row r="196" spans="1:9">
      <c r="A196" s="426" t="s">
        <v>32</v>
      </c>
      <c r="B196" s="420" t="s">
        <v>15</v>
      </c>
      <c r="C196" s="443">
        <v>516000</v>
      </c>
      <c r="D196" s="443">
        <v>95000</v>
      </c>
      <c r="E196" s="443">
        <v>249760</v>
      </c>
      <c r="F196" s="443">
        <v>354000</v>
      </c>
      <c r="G196" s="443">
        <v>583900</v>
      </c>
      <c r="H196" s="443">
        <v>12005</v>
      </c>
      <c r="I196" s="204"/>
    </row>
    <row r="197" spans="1:9">
      <c r="A197" s="426" t="s">
        <v>682</v>
      </c>
      <c r="B197" s="420" t="s">
        <v>17</v>
      </c>
      <c r="C197" s="443">
        <v>400300</v>
      </c>
      <c r="D197" s="443">
        <v>69940</v>
      </c>
      <c r="E197" s="443">
        <v>183500</v>
      </c>
      <c r="F197" s="443">
        <v>63030</v>
      </c>
      <c r="G197" s="443">
        <v>174960</v>
      </c>
      <c r="H197" s="443">
        <v>16200</v>
      </c>
      <c r="I197" s="204"/>
    </row>
    <row r="198" spans="1:9">
      <c r="A198" s="426" t="s">
        <v>683</v>
      </c>
      <c r="B198" s="420" t="s">
        <v>19</v>
      </c>
      <c r="C198" s="443">
        <v>1081200</v>
      </c>
      <c r="D198" s="443">
        <v>180150</v>
      </c>
      <c r="E198" s="443">
        <v>350010</v>
      </c>
      <c r="F198" s="443">
        <v>79590</v>
      </c>
      <c r="G198" s="443">
        <v>207660</v>
      </c>
      <c r="H198" s="443">
        <v>27229</v>
      </c>
      <c r="I198" s="204"/>
    </row>
    <row r="199" spans="1:9">
      <c r="A199" s="418">
        <v>4.4000000000000004</v>
      </c>
      <c r="B199" s="418" t="s">
        <v>357</v>
      </c>
      <c r="C199" s="419"/>
      <c r="D199" s="419"/>
      <c r="E199" s="419"/>
      <c r="F199" s="419"/>
      <c r="G199" s="419"/>
      <c r="H199" s="419"/>
      <c r="I199" s="204"/>
    </row>
    <row r="200" spans="1:9">
      <c r="A200" s="426" t="s">
        <v>33</v>
      </c>
      <c r="B200" s="426" t="s">
        <v>410</v>
      </c>
      <c r="C200" s="443">
        <v>50000</v>
      </c>
      <c r="D200" s="443">
        <v>18059</v>
      </c>
      <c r="E200" s="443">
        <v>52310</v>
      </c>
      <c r="F200" s="443">
        <v>14543</v>
      </c>
      <c r="G200" s="443">
        <v>46930</v>
      </c>
      <c r="H200" s="443">
        <v>11641</v>
      </c>
      <c r="I200" s="204"/>
    </row>
    <row r="201" spans="1:9">
      <c r="A201" s="426" t="s">
        <v>34</v>
      </c>
      <c r="B201" s="426" t="s">
        <v>23</v>
      </c>
      <c r="C201" s="443">
        <v>100000</v>
      </c>
      <c r="D201" s="443">
        <v>27980</v>
      </c>
      <c r="E201" s="443">
        <v>76780</v>
      </c>
      <c r="F201" s="443">
        <v>26100</v>
      </c>
      <c r="G201" s="443">
        <v>68800</v>
      </c>
      <c r="H201" s="443">
        <v>13263</v>
      </c>
      <c r="I201" s="204"/>
    </row>
    <row r="202" spans="1:9">
      <c r="A202" s="426" t="s">
        <v>134</v>
      </c>
      <c r="B202" s="426" t="s">
        <v>25</v>
      </c>
      <c r="C202" s="443">
        <v>200000</v>
      </c>
      <c r="D202" s="443">
        <v>38980</v>
      </c>
      <c r="E202" s="443">
        <v>95620</v>
      </c>
      <c r="F202" s="443">
        <v>32820</v>
      </c>
      <c r="G202" s="443">
        <v>96860</v>
      </c>
      <c r="H202" s="443">
        <v>13805</v>
      </c>
      <c r="I202" s="204"/>
    </row>
    <row r="203" spans="1:9">
      <c r="A203" s="426" t="s">
        <v>135</v>
      </c>
      <c r="B203" s="426" t="s">
        <v>27</v>
      </c>
      <c r="C203" s="443">
        <v>314200</v>
      </c>
      <c r="D203" s="443">
        <v>48230</v>
      </c>
      <c r="E203" s="443">
        <v>130430</v>
      </c>
      <c r="F203" s="443">
        <v>42780</v>
      </c>
      <c r="G203" s="443">
        <v>129570</v>
      </c>
      <c r="H203" s="443">
        <v>13920</v>
      </c>
      <c r="I203" s="204"/>
    </row>
    <row r="204" spans="1:9">
      <c r="A204" s="426" t="s">
        <v>136</v>
      </c>
      <c r="B204" s="426" t="s">
        <v>29</v>
      </c>
      <c r="C204" s="443">
        <v>416900</v>
      </c>
      <c r="D204" s="443">
        <v>60030</v>
      </c>
      <c r="E204" s="443">
        <v>161600</v>
      </c>
      <c r="F204" s="443">
        <v>52800</v>
      </c>
      <c r="G204" s="443">
        <v>153530</v>
      </c>
      <c r="H204" s="443">
        <v>15369</v>
      </c>
      <c r="I204" s="204"/>
    </row>
    <row r="205" spans="1:9">
      <c r="A205" s="418">
        <v>4.5999999999999996</v>
      </c>
      <c r="B205" s="418" t="s">
        <v>161</v>
      </c>
      <c r="C205" s="440" t="s">
        <v>148</v>
      </c>
      <c r="D205" s="440" t="s">
        <v>148</v>
      </c>
      <c r="E205" s="440" t="s">
        <v>148</v>
      </c>
      <c r="F205" s="440" t="s">
        <v>148</v>
      </c>
      <c r="G205" s="440" t="s">
        <v>148</v>
      </c>
      <c r="H205" s="440" t="s">
        <v>148</v>
      </c>
      <c r="I205" s="204"/>
    </row>
    <row r="206" spans="1:9">
      <c r="A206" s="426" t="s">
        <v>44</v>
      </c>
      <c r="B206" s="426" t="s">
        <v>21</v>
      </c>
      <c r="C206" s="444">
        <v>0.91270000000000007</v>
      </c>
      <c r="D206" s="444">
        <v>1.72905</v>
      </c>
      <c r="E206" s="444">
        <v>0.94804999999999995</v>
      </c>
      <c r="F206" s="444">
        <v>0.79435</v>
      </c>
      <c r="G206" s="444">
        <v>1.3349249999999999</v>
      </c>
      <c r="H206" s="444">
        <v>14.863866666666667</v>
      </c>
      <c r="I206" s="204"/>
    </row>
    <row r="207" spans="1:9">
      <c r="A207" s="426" t="s">
        <v>664</v>
      </c>
      <c r="B207" s="426" t="s">
        <v>23</v>
      </c>
      <c r="C207" s="444">
        <v>0.7660499999999999</v>
      </c>
      <c r="D207" s="444">
        <v>1.0848499999999999</v>
      </c>
      <c r="E207" s="444">
        <v>0.76732500000000003</v>
      </c>
      <c r="F207" s="444">
        <v>0.64054999999999995</v>
      </c>
      <c r="G207" s="444">
        <v>0.50819999999999999</v>
      </c>
      <c r="H207" s="444">
        <v>8.6797333333333349</v>
      </c>
      <c r="I207" s="204"/>
    </row>
    <row r="208" spans="1:9">
      <c r="A208" s="426" t="s">
        <v>684</v>
      </c>
      <c r="B208" s="426" t="s">
        <v>25</v>
      </c>
      <c r="C208" s="444">
        <v>0.65175000000000005</v>
      </c>
      <c r="D208" s="444">
        <v>0.73780000000000001</v>
      </c>
      <c r="E208" s="444">
        <v>0.20632500000000001</v>
      </c>
      <c r="F208" s="444">
        <v>8.0750000000000002E-2</v>
      </c>
      <c r="G208" s="444">
        <v>0.35062500000000002</v>
      </c>
      <c r="H208" s="444">
        <v>5.3260000000000005</v>
      </c>
      <c r="I208" s="204"/>
    </row>
    <row r="209" spans="1:9">
      <c r="A209" s="426" t="s">
        <v>685</v>
      </c>
      <c r="B209" s="426" t="s">
        <v>27</v>
      </c>
      <c r="C209" s="444">
        <v>0.24854999999999999</v>
      </c>
      <c r="D209" s="444">
        <v>0.47075</v>
      </c>
      <c r="E209" s="444">
        <v>5.0750000000000003E-2</v>
      </c>
      <c r="F209" s="444">
        <v>4.5649999999999996E-2</v>
      </c>
      <c r="G209" s="444">
        <v>0.20892499999999997</v>
      </c>
      <c r="H209" s="444">
        <v>5.9201000000000006</v>
      </c>
      <c r="I209" s="204"/>
    </row>
    <row r="210" spans="1:9">
      <c r="A210" s="426" t="s">
        <v>686</v>
      </c>
      <c r="B210" s="426" t="s">
        <v>29</v>
      </c>
      <c r="C210" s="444">
        <v>0.31985000000000002</v>
      </c>
      <c r="D210" s="444">
        <v>0.73345000000000005</v>
      </c>
      <c r="E210" s="444">
        <v>1.6925000000000003E-2</v>
      </c>
      <c r="F210" s="444">
        <v>3.005E-2</v>
      </c>
      <c r="G210" s="444">
        <v>0.14745</v>
      </c>
      <c r="H210" s="444">
        <v>11.447650000000001</v>
      </c>
      <c r="I210" s="204"/>
    </row>
    <row r="211" spans="1:9">
      <c r="A211" s="418">
        <v>4.5</v>
      </c>
      <c r="B211" s="418" t="s">
        <v>358</v>
      </c>
      <c r="C211" s="440"/>
      <c r="D211" s="440"/>
      <c r="E211" s="440"/>
      <c r="F211" s="440"/>
      <c r="G211" s="440"/>
      <c r="H211" s="440"/>
      <c r="I211" s="204"/>
    </row>
    <row r="212" spans="1:9">
      <c r="A212" s="420" t="s">
        <v>36</v>
      </c>
      <c r="B212" s="426" t="s">
        <v>162</v>
      </c>
      <c r="C212" s="443">
        <v>100000</v>
      </c>
      <c r="D212" s="443">
        <v>27980</v>
      </c>
      <c r="E212" s="443">
        <v>76780</v>
      </c>
      <c r="F212" s="443">
        <v>26100</v>
      </c>
      <c r="G212" s="443">
        <v>68800</v>
      </c>
      <c r="H212" s="443">
        <v>13263</v>
      </c>
      <c r="I212" s="204"/>
    </row>
    <row r="213" spans="1:9">
      <c r="A213" s="420" t="s">
        <v>38</v>
      </c>
      <c r="B213" s="426" t="s">
        <v>163</v>
      </c>
      <c r="C213" s="443">
        <v>200000</v>
      </c>
      <c r="D213" s="443">
        <v>38980</v>
      </c>
      <c r="E213" s="443">
        <v>95620</v>
      </c>
      <c r="F213" s="443">
        <v>32820</v>
      </c>
      <c r="G213" s="443">
        <v>96860</v>
      </c>
      <c r="H213" s="443">
        <v>13805</v>
      </c>
      <c r="I213" s="204"/>
    </row>
    <row r="214" spans="1:9">
      <c r="A214" s="435">
        <v>4.7</v>
      </c>
      <c r="B214" s="435" t="s">
        <v>45</v>
      </c>
      <c r="C214" s="419" t="s">
        <v>35</v>
      </c>
      <c r="D214" s="419" t="s">
        <v>35</v>
      </c>
      <c r="E214" s="419" t="s">
        <v>35</v>
      </c>
      <c r="F214" s="419" t="s">
        <v>35</v>
      </c>
      <c r="G214" s="419" t="s">
        <v>35</v>
      </c>
      <c r="H214" s="419" t="s">
        <v>35</v>
      </c>
      <c r="I214" s="204"/>
    </row>
    <row r="215" spans="1:9">
      <c r="A215" s="427" t="s">
        <v>687</v>
      </c>
      <c r="B215" s="426" t="s">
        <v>359</v>
      </c>
      <c r="C215" s="443">
        <v>20000</v>
      </c>
      <c r="D215" s="443">
        <v>9362</v>
      </c>
      <c r="E215" s="443">
        <v>23830</v>
      </c>
      <c r="F215" s="443">
        <v>14047</v>
      </c>
      <c r="G215" s="443">
        <v>40000</v>
      </c>
      <c r="H215" s="443">
        <v>3061.8</v>
      </c>
      <c r="I215" s="204"/>
    </row>
    <row r="216" spans="1:9">
      <c r="A216" s="427" t="s">
        <v>688</v>
      </c>
      <c r="B216" s="426" t="s">
        <v>689</v>
      </c>
      <c r="C216" s="443">
        <v>20000</v>
      </c>
      <c r="D216" s="443">
        <v>20000</v>
      </c>
      <c r="E216" s="443">
        <v>27060</v>
      </c>
      <c r="F216" s="443">
        <v>7061</v>
      </c>
      <c r="G216" s="443">
        <v>25210</v>
      </c>
      <c r="H216" s="443">
        <v>3581</v>
      </c>
      <c r="I216" s="204"/>
    </row>
    <row r="217" spans="1:9">
      <c r="A217" s="427" t="s">
        <v>690</v>
      </c>
      <c r="B217" s="426" t="s">
        <v>360</v>
      </c>
      <c r="C217" s="443">
        <v>13029</v>
      </c>
      <c r="D217" s="443">
        <v>4218</v>
      </c>
      <c r="E217" s="443">
        <v>6456</v>
      </c>
      <c r="F217" s="443">
        <v>4840</v>
      </c>
      <c r="G217" s="443">
        <v>9300</v>
      </c>
      <c r="H217" s="443">
        <v>704.7</v>
      </c>
      <c r="I217" s="204"/>
    </row>
    <row r="218" spans="1:9">
      <c r="A218" s="427" t="s">
        <v>691</v>
      </c>
      <c r="B218" s="426" t="s">
        <v>361</v>
      </c>
      <c r="C218" s="443">
        <v>19635</v>
      </c>
      <c r="D218" s="443">
        <v>19458</v>
      </c>
      <c r="E218" s="443">
        <v>20770</v>
      </c>
      <c r="F218" s="443">
        <v>14673</v>
      </c>
      <c r="G218" s="443">
        <v>32700</v>
      </c>
      <c r="H218" s="443">
        <v>4864</v>
      </c>
      <c r="I218" s="204"/>
    </row>
    <row r="219" spans="1:9">
      <c r="A219" s="408">
        <v>5</v>
      </c>
      <c r="B219" s="408" t="s">
        <v>46</v>
      </c>
      <c r="C219" s="445"/>
      <c r="D219" s="445"/>
      <c r="E219" s="445"/>
      <c r="F219" s="445"/>
      <c r="G219" s="445"/>
      <c r="H219" s="445"/>
      <c r="I219" s="204"/>
    </row>
    <row r="220" spans="1:9">
      <c r="A220" s="435">
        <v>5.0999999999999996</v>
      </c>
      <c r="B220" s="435" t="s">
        <v>47</v>
      </c>
      <c r="C220" s="440" t="s">
        <v>131</v>
      </c>
      <c r="D220" s="440" t="s">
        <v>131</v>
      </c>
      <c r="E220" s="440" t="s">
        <v>131</v>
      </c>
      <c r="F220" s="440" t="s">
        <v>131</v>
      </c>
      <c r="G220" s="440" t="s">
        <v>131</v>
      </c>
      <c r="H220" s="440" t="s">
        <v>131</v>
      </c>
      <c r="I220" s="204"/>
    </row>
    <row r="221" spans="1:9">
      <c r="A221" s="435">
        <v>5.2</v>
      </c>
      <c r="B221" s="435" t="s">
        <v>48</v>
      </c>
      <c r="C221" s="440" t="s">
        <v>131</v>
      </c>
      <c r="D221" s="440" t="s">
        <v>131</v>
      </c>
      <c r="E221" s="440" t="s">
        <v>131</v>
      </c>
      <c r="F221" s="440" t="s">
        <v>131</v>
      </c>
      <c r="G221" s="440" t="s">
        <v>131</v>
      </c>
      <c r="H221" s="440" t="s">
        <v>131</v>
      </c>
      <c r="I221" s="204"/>
    </row>
    <row r="222" spans="1:9">
      <c r="A222" s="435">
        <v>5.3</v>
      </c>
      <c r="B222" s="418" t="s">
        <v>362</v>
      </c>
      <c r="C222" s="440" t="s">
        <v>131</v>
      </c>
      <c r="D222" s="440" t="s">
        <v>131</v>
      </c>
      <c r="E222" s="440" t="s">
        <v>131</v>
      </c>
      <c r="F222" s="440" t="s">
        <v>131</v>
      </c>
      <c r="G222" s="440" t="s">
        <v>131</v>
      </c>
      <c r="H222" s="440" t="s">
        <v>131</v>
      </c>
      <c r="I222" s="204"/>
    </row>
    <row r="223" spans="1:9">
      <c r="A223" s="427" t="s">
        <v>363</v>
      </c>
      <c r="B223" s="420" t="s">
        <v>364</v>
      </c>
      <c r="C223" s="446" t="s">
        <v>131</v>
      </c>
      <c r="D223" s="446" t="s">
        <v>131</v>
      </c>
      <c r="E223" s="446" t="s">
        <v>131</v>
      </c>
      <c r="F223" s="446" t="s">
        <v>131</v>
      </c>
      <c r="G223" s="446" t="s">
        <v>131</v>
      </c>
      <c r="H223" s="446" t="s">
        <v>131</v>
      </c>
      <c r="I223" s="204"/>
    </row>
    <row r="224" spans="1:9">
      <c r="A224" s="427" t="s">
        <v>365</v>
      </c>
      <c r="B224" s="420" t="s">
        <v>366</v>
      </c>
      <c r="C224" s="446" t="s">
        <v>131</v>
      </c>
      <c r="D224" s="446" t="s">
        <v>131</v>
      </c>
      <c r="E224" s="446" t="s">
        <v>131</v>
      </c>
      <c r="F224" s="446" t="s">
        <v>131</v>
      </c>
      <c r="G224" s="446" t="s">
        <v>131</v>
      </c>
      <c r="H224" s="446" t="s">
        <v>131</v>
      </c>
      <c r="I224" s="204"/>
    </row>
    <row r="225" spans="1:9">
      <c r="A225" s="427" t="s">
        <v>367</v>
      </c>
      <c r="B225" s="420" t="s">
        <v>368</v>
      </c>
      <c r="C225" s="446" t="s">
        <v>131</v>
      </c>
      <c r="D225" s="446" t="s">
        <v>131</v>
      </c>
      <c r="E225" s="446" t="s">
        <v>131</v>
      </c>
      <c r="F225" s="446" t="s">
        <v>131</v>
      </c>
      <c r="G225" s="446" t="s">
        <v>131</v>
      </c>
      <c r="H225" s="446" t="s">
        <v>131</v>
      </c>
      <c r="I225" s="204"/>
    </row>
    <row r="226" spans="1:9">
      <c r="A226" s="427" t="s">
        <v>369</v>
      </c>
      <c r="B226" s="426" t="s">
        <v>370</v>
      </c>
      <c r="C226" s="446" t="s">
        <v>131</v>
      </c>
      <c r="D226" s="446" t="s">
        <v>131</v>
      </c>
      <c r="E226" s="446" t="s">
        <v>131</v>
      </c>
      <c r="F226" s="446" t="s">
        <v>131</v>
      </c>
      <c r="G226" s="446" t="s">
        <v>131</v>
      </c>
      <c r="H226" s="446" t="s">
        <v>131</v>
      </c>
      <c r="I226" s="204"/>
    </row>
    <row r="227" spans="1:9">
      <c r="A227" s="427" t="s">
        <v>371</v>
      </c>
      <c r="B227" s="426" t="s">
        <v>372</v>
      </c>
      <c r="C227" s="446" t="s">
        <v>131</v>
      </c>
      <c r="D227" s="446" t="s">
        <v>131</v>
      </c>
      <c r="E227" s="446" t="s">
        <v>131</v>
      </c>
      <c r="F227" s="446" t="s">
        <v>131</v>
      </c>
      <c r="G227" s="446" t="s">
        <v>131</v>
      </c>
      <c r="H227" s="446" t="s">
        <v>131</v>
      </c>
      <c r="I227" s="204"/>
    </row>
    <row r="228" spans="1:9">
      <c r="A228" s="435">
        <v>5.4</v>
      </c>
      <c r="B228" s="435" t="s">
        <v>49</v>
      </c>
      <c r="C228" s="440" t="s">
        <v>131</v>
      </c>
      <c r="D228" s="440" t="s">
        <v>131</v>
      </c>
      <c r="E228" s="440" t="s">
        <v>131</v>
      </c>
      <c r="F228" s="440" t="s">
        <v>131</v>
      </c>
      <c r="G228" s="440" t="s">
        <v>131</v>
      </c>
      <c r="H228" s="440" t="s">
        <v>131</v>
      </c>
      <c r="I228" s="204"/>
    </row>
    <row r="229" spans="1:9">
      <c r="A229" s="435">
        <v>5.5</v>
      </c>
      <c r="B229" s="435" t="s">
        <v>50</v>
      </c>
      <c r="C229" s="440" t="s">
        <v>131</v>
      </c>
      <c r="D229" s="440" t="s">
        <v>131</v>
      </c>
      <c r="E229" s="440" t="s">
        <v>131</v>
      </c>
      <c r="F229" s="440" t="s">
        <v>131</v>
      </c>
      <c r="G229" s="440" t="s">
        <v>131</v>
      </c>
      <c r="H229" s="440" t="s">
        <v>131</v>
      </c>
      <c r="I229" s="204"/>
    </row>
    <row r="230" spans="1:9">
      <c r="A230" s="435">
        <v>5.6</v>
      </c>
      <c r="B230" s="435" t="s">
        <v>51</v>
      </c>
      <c r="C230" s="440" t="s">
        <v>694</v>
      </c>
      <c r="D230" s="440" t="s">
        <v>694</v>
      </c>
      <c r="E230" s="440" t="s">
        <v>694</v>
      </c>
      <c r="F230" s="440" t="s">
        <v>694</v>
      </c>
      <c r="G230" s="440" t="s">
        <v>694</v>
      </c>
      <c r="H230" s="440" t="s">
        <v>694</v>
      </c>
      <c r="I230" s="204"/>
    </row>
    <row r="231" spans="1:9">
      <c r="A231" s="435">
        <v>5.7</v>
      </c>
      <c r="B231" s="435" t="s">
        <v>52</v>
      </c>
      <c r="C231" s="440" t="s">
        <v>131</v>
      </c>
      <c r="D231" s="440" t="s">
        <v>131</v>
      </c>
      <c r="E231" s="440" t="s">
        <v>131</v>
      </c>
      <c r="F231" s="440" t="s">
        <v>131</v>
      </c>
      <c r="G231" s="440" t="s">
        <v>131</v>
      </c>
      <c r="H231" s="440" t="s">
        <v>131</v>
      </c>
      <c r="I231" s="204"/>
    </row>
    <row r="232" spans="1:9">
      <c r="A232" s="447">
        <v>7</v>
      </c>
      <c r="B232" s="447" t="s">
        <v>53</v>
      </c>
      <c r="C232" s="448"/>
      <c r="D232" s="448"/>
      <c r="E232" s="448"/>
      <c r="F232" s="448"/>
      <c r="G232" s="448"/>
      <c r="H232" s="448"/>
      <c r="I232" s="204"/>
    </row>
    <row r="233" spans="1:9">
      <c r="A233" s="449">
        <v>7.1</v>
      </c>
      <c r="B233" s="449" t="s">
        <v>54</v>
      </c>
      <c r="C233" s="450"/>
      <c r="D233" s="450"/>
      <c r="E233" s="450"/>
      <c r="F233" s="450"/>
      <c r="G233" s="450"/>
      <c r="H233" s="450"/>
      <c r="I233" s="204"/>
    </row>
    <row r="234" spans="1:9">
      <c r="A234" s="426" t="s">
        <v>55</v>
      </c>
      <c r="B234" s="426" t="s">
        <v>56</v>
      </c>
      <c r="C234" s="451">
        <v>8</v>
      </c>
      <c r="D234" s="451">
        <v>8</v>
      </c>
      <c r="E234" s="451">
        <v>8</v>
      </c>
      <c r="F234" s="451">
        <v>8</v>
      </c>
      <c r="G234" s="451">
        <v>8</v>
      </c>
      <c r="H234" s="451">
        <v>8</v>
      </c>
      <c r="I234" s="204"/>
    </row>
    <row r="235" spans="1:9">
      <c r="A235" s="426" t="s">
        <v>154</v>
      </c>
      <c r="B235" s="426" t="s">
        <v>155</v>
      </c>
      <c r="C235" s="452" t="s">
        <v>380</v>
      </c>
      <c r="D235" s="452" t="s">
        <v>380</v>
      </c>
      <c r="E235" s="452" t="s">
        <v>380</v>
      </c>
      <c r="F235" s="452" t="s">
        <v>380</v>
      </c>
      <c r="G235" s="452" t="s">
        <v>380</v>
      </c>
      <c r="H235" s="452" t="s">
        <v>380</v>
      </c>
      <c r="I235" s="204"/>
    </row>
    <row r="236" spans="1:9">
      <c r="A236" s="426" t="s">
        <v>373</v>
      </c>
      <c r="B236" s="426" t="s">
        <v>374</v>
      </c>
      <c r="C236" s="452" t="s">
        <v>380</v>
      </c>
      <c r="D236" s="452" t="s">
        <v>380</v>
      </c>
      <c r="E236" s="452" t="s">
        <v>380</v>
      </c>
      <c r="F236" s="452" t="s">
        <v>380</v>
      </c>
      <c r="G236" s="452" t="s">
        <v>380</v>
      </c>
      <c r="H236" s="452" t="s">
        <v>380</v>
      </c>
      <c r="I236" s="204"/>
    </row>
    <row r="237" spans="1:9">
      <c r="A237" s="449">
        <v>7.2</v>
      </c>
      <c r="B237" s="449" t="s">
        <v>57</v>
      </c>
      <c r="C237" s="451"/>
      <c r="D237" s="451"/>
      <c r="E237" s="451"/>
      <c r="F237" s="451"/>
      <c r="G237" s="451"/>
      <c r="H237" s="451"/>
      <c r="I237" s="204"/>
    </row>
    <row r="238" spans="1:9">
      <c r="A238" s="426" t="s">
        <v>58</v>
      </c>
      <c r="B238" s="426" t="s">
        <v>59</v>
      </c>
      <c r="C238" s="453">
        <v>242390</v>
      </c>
      <c r="D238" s="453">
        <v>24998</v>
      </c>
      <c r="E238" s="453">
        <v>201596</v>
      </c>
      <c r="F238" s="406">
        <v>108158</v>
      </c>
      <c r="G238" s="406">
        <v>283392</v>
      </c>
      <c r="H238" s="453">
        <v>41500</v>
      </c>
      <c r="I238" s="204"/>
    </row>
    <row r="239" spans="1:9">
      <c r="A239" s="426" t="s">
        <v>64</v>
      </c>
      <c r="B239" s="426" t="s">
        <v>65</v>
      </c>
      <c r="C239" s="454">
        <f>C234*75</f>
        <v>600</v>
      </c>
      <c r="D239" s="454">
        <f t="shared" ref="D239:H239" si="1">D234*75</f>
        <v>600</v>
      </c>
      <c r="E239" s="454">
        <f t="shared" si="1"/>
        <v>600</v>
      </c>
      <c r="F239" s="454">
        <f>F234*75</f>
        <v>600</v>
      </c>
      <c r="G239" s="454">
        <f>G234*75</f>
        <v>600</v>
      </c>
      <c r="H239" s="454">
        <f t="shared" si="1"/>
        <v>600</v>
      </c>
      <c r="I239" s="204"/>
    </row>
    <row r="240" spans="1:9">
      <c r="A240" s="426" t="s">
        <v>61</v>
      </c>
      <c r="B240" s="426" t="s">
        <v>62</v>
      </c>
      <c r="C240" s="453">
        <v>19386.666666666668</v>
      </c>
      <c r="D240" s="453">
        <v>10469</v>
      </c>
      <c r="E240" s="453">
        <v>41159</v>
      </c>
      <c r="F240" s="406">
        <v>23742</v>
      </c>
      <c r="G240" s="406">
        <v>62208</v>
      </c>
      <c r="H240" s="406">
        <v>3840</v>
      </c>
      <c r="I240" s="315"/>
    </row>
    <row r="241" spans="1:10">
      <c r="A241" s="426" t="s">
        <v>375</v>
      </c>
      <c r="B241" s="426" t="s">
        <v>376</v>
      </c>
      <c r="C241" s="454">
        <v>0</v>
      </c>
      <c r="D241" s="454">
        <v>0</v>
      </c>
      <c r="E241" s="454">
        <v>0</v>
      </c>
      <c r="F241" s="454">
        <v>0</v>
      </c>
      <c r="G241" s="454">
        <v>0</v>
      </c>
      <c r="H241" s="406">
        <f>19200/3</f>
        <v>6400</v>
      </c>
      <c r="I241" s="204"/>
    </row>
    <row r="242" spans="1:10">
      <c r="A242" s="426" t="s">
        <v>60</v>
      </c>
      <c r="B242" s="426" t="s">
        <v>692</v>
      </c>
      <c r="C242" s="452" t="s">
        <v>380</v>
      </c>
      <c r="D242" s="452" t="s">
        <v>380</v>
      </c>
      <c r="E242" s="452" t="s">
        <v>380</v>
      </c>
      <c r="F242" s="452" t="s">
        <v>380</v>
      </c>
      <c r="G242" s="452" t="s">
        <v>380</v>
      </c>
      <c r="H242" s="452" t="s">
        <v>380</v>
      </c>
      <c r="I242" s="204"/>
    </row>
    <row r="243" spans="1:10">
      <c r="A243" s="426" t="s">
        <v>63</v>
      </c>
      <c r="B243" s="426" t="s">
        <v>693</v>
      </c>
      <c r="C243" s="452" t="s">
        <v>380</v>
      </c>
      <c r="D243" s="452" t="s">
        <v>380</v>
      </c>
      <c r="E243" s="452" t="s">
        <v>380</v>
      </c>
      <c r="F243" s="452" t="s">
        <v>380</v>
      </c>
      <c r="G243" s="452" t="s">
        <v>380</v>
      </c>
      <c r="H243" s="452" t="s">
        <v>380</v>
      </c>
      <c r="I243" s="204"/>
    </row>
    <row r="244" spans="1:10">
      <c r="A244" s="426" t="s">
        <v>156</v>
      </c>
      <c r="B244" s="426" t="s">
        <v>377</v>
      </c>
      <c r="C244" s="452" t="s">
        <v>380</v>
      </c>
      <c r="D244" s="452" t="s">
        <v>380</v>
      </c>
      <c r="E244" s="452" t="s">
        <v>380</v>
      </c>
      <c r="F244" s="452" t="s">
        <v>380</v>
      </c>
      <c r="G244" s="452" t="s">
        <v>380</v>
      </c>
      <c r="H244" s="452" t="s">
        <v>380</v>
      </c>
      <c r="I244" s="204"/>
    </row>
    <row r="245" spans="1:10">
      <c r="A245" s="426" t="s">
        <v>157</v>
      </c>
      <c r="B245" s="426" t="s">
        <v>378</v>
      </c>
      <c r="C245" s="452" t="s">
        <v>380</v>
      </c>
      <c r="D245" s="452" t="s">
        <v>380</v>
      </c>
      <c r="E245" s="452" t="s">
        <v>380</v>
      </c>
      <c r="F245" s="452" t="s">
        <v>380</v>
      </c>
      <c r="G245" s="452" t="s">
        <v>380</v>
      </c>
      <c r="H245" s="452" t="s">
        <v>380</v>
      </c>
      <c r="I245" s="204"/>
    </row>
    <row r="246" spans="1:10">
      <c r="A246" s="449">
        <v>7.3</v>
      </c>
      <c r="B246" s="449" t="s">
        <v>53</v>
      </c>
      <c r="C246" s="451"/>
      <c r="D246" s="451"/>
      <c r="E246" s="451"/>
      <c r="F246" s="451"/>
      <c r="G246" s="451"/>
      <c r="H246" s="451"/>
      <c r="I246" s="204"/>
    </row>
    <row r="247" spans="1:10">
      <c r="A247" s="426" t="s">
        <v>66</v>
      </c>
      <c r="B247" s="426" t="s">
        <v>67</v>
      </c>
      <c r="C247" s="453">
        <f t="shared" ref="C247:E247" si="2">C238+C239+C240+C241</f>
        <v>262376.66666666669</v>
      </c>
      <c r="D247" s="453">
        <f t="shared" si="2"/>
        <v>36067</v>
      </c>
      <c r="E247" s="453">
        <f t="shared" si="2"/>
        <v>243355</v>
      </c>
      <c r="F247" s="453">
        <f>F238+F239+F240+F241</f>
        <v>132500</v>
      </c>
      <c r="G247" s="453">
        <f>G238+G239+G240+G241</f>
        <v>346200</v>
      </c>
      <c r="H247" s="453">
        <f>H238+H239+H240+H241</f>
        <v>52340</v>
      </c>
      <c r="I247" s="204"/>
    </row>
    <row r="248" spans="1:10">
      <c r="A248" s="426" t="s">
        <v>68</v>
      </c>
      <c r="B248" s="426" t="s">
        <v>69</v>
      </c>
      <c r="C248" s="453">
        <f t="shared" ref="C248:E248" si="3">C240+C241</f>
        <v>19386.666666666668</v>
      </c>
      <c r="D248" s="453">
        <f t="shared" si="3"/>
        <v>10469</v>
      </c>
      <c r="E248" s="453">
        <f t="shared" si="3"/>
        <v>41159</v>
      </c>
      <c r="F248" s="453">
        <f>F240+F241</f>
        <v>23742</v>
      </c>
      <c r="G248" s="453">
        <f>G240+G241</f>
        <v>62208</v>
      </c>
      <c r="H248" s="453">
        <f>H240+H241</f>
        <v>10240</v>
      </c>
      <c r="I248" s="314"/>
    </row>
    <row r="249" spans="1:10">
      <c r="A249" s="426" t="s">
        <v>70</v>
      </c>
      <c r="B249" s="426" t="s">
        <v>71</v>
      </c>
      <c r="C249" s="453">
        <f t="shared" ref="C249:E249" si="4">C240+C241</f>
        <v>19386.666666666668</v>
      </c>
      <c r="D249" s="453">
        <f t="shared" si="4"/>
        <v>10469</v>
      </c>
      <c r="E249" s="453">
        <f t="shared" si="4"/>
        <v>41159</v>
      </c>
      <c r="F249" s="453">
        <f>F240+F241</f>
        <v>23742</v>
      </c>
      <c r="G249" s="453">
        <f>G240+G241</f>
        <v>62208</v>
      </c>
      <c r="H249" s="453">
        <f>H240+H241</f>
        <v>10240</v>
      </c>
      <c r="I249" s="314"/>
    </row>
    <row r="250" spans="1:10">
      <c r="A250" s="426" t="s">
        <v>72</v>
      </c>
      <c r="B250" s="426" t="s">
        <v>73</v>
      </c>
      <c r="C250" s="453">
        <f t="shared" ref="C250:E250" si="5">C247+C248+C249</f>
        <v>301150.00000000006</v>
      </c>
      <c r="D250" s="453">
        <f t="shared" si="5"/>
        <v>57005</v>
      </c>
      <c r="E250" s="453">
        <f t="shared" si="5"/>
        <v>325673</v>
      </c>
      <c r="F250" s="453">
        <f>F247+F248+F249</f>
        <v>179984</v>
      </c>
      <c r="G250" s="453">
        <f>G247+G248+G249</f>
        <v>470616</v>
      </c>
      <c r="H250" s="453">
        <f t="shared" ref="H250" si="6">H247+H248+H249</f>
        <v>72820</v>
      </c>
      <c r="I250" s="173"/>
    </row>
    <row r="251" spans="1:10">
      <c r="D251" s="315"/>
    </row>
    <row r="252" spans="1:10">
      <c r="A252" s="204"/>
      <c r="D252" s="315"/>
      <c r="F252" s="456">
        <f>F240/F238</f>
        <v>0.21951219512195122</v>
      </c>
      <c r="G252" s="456">
        <f>G240/G238</f>
        <v>0.21951219512195122</v>
      </c>
    </row>
    <row r="253" spans="1:10">
      <c r="A253" s="204"/>
      <c r="D253" s="315"/>
    </row>
    <row r="254" spans="1:10">
      <c r="A254" s="204"/>
      <c r="D254" s="315"/>
      <c r="H254" s="457"/>
    </row>
    <row r="255" spans="1:10">
      <c r="A255" s="204"/>
      <c r="B255" s="385">
        <v>7100</v>
      </c>
      <c r="C255" s="385">
        <v>5100</v>
      </c>
      <c r="D255" s="458"/>
      <c r="E255" s="458"/>
      <c r="F255" s="458"/>
      <c r="G255" s="458"/>
      <c r="H255" s="458"/>
    </row>
    <row r="256" spans="1:10">
      <c r="B256" s="459">
        <f>120000+(70000*3)-B257</f>
        <v>266400</v>
      </c>
      <c r="C256" s="459">
        <f>44300+(26600*3)-C257</f>
        <v>100160</v>
      </c>
      <c r="E256" s="457"/>
      <c r="G256" s="378"/>
      <c r="H256" s="380"/>
      <c r="J256" s="379"/>
    </row>
    <row r="257" spans="2:8">
      <c r="B257" s="460">
        <f>21600+(14000*3)</f>
        <v>63600</v>
      </c>
      <c r="C257" s="460">
        <f>7980+(5320*3)</f>
        <v>23940</v>
      </c>
      <c r="E257" s="457"/>
    </row>
    <row r="258" spans="2:8">
      <c r="B258" s="461"/>
      <c r="C258" s="461"/>
      <c r="E258" s="381"/>
    </row>
    <row r="259" spans="2:8">
      <c r="B259" s="387">
        <f>B256+B257+B257+B257</f>
        <v>457200</v>
      </c>
      <c r="C259" s="386">
        <f>C256+C257+C257+C257</f>
        <v>171980</v>
      </c>
    </row>
    <row r="262" spans="2:8">
      <c r="B262" s="204" t="s">
        <v>702</v>
      </c>
      <c r="D262" s="381"/>
    </row>
    <row r="263" spans="2:8">
      <c r="B263" s="204"/>
    </row>
    <row r="264" spans="2:8">
      <c r="B264" s="457"/>
    </row>
    <row r="265" spans="2:8">
      <c r="B265" s="384"/>
    </row>
    <row r="266" spans="2:8">
      <c r="B266" s="384"/>
    </row>
    <row r="268" spans="2:8">
      <c r="B268" s="384"/>
    </row>
    <row r="271" spans="2:8" ht="12.75" thickBot="1">
      <c r="B271" s="204"/>
    </row>
    <row r="272" spans="2:8" ht="12.75" thickBot="1">
      <c r="B272" s="204"/>
      <c r="C272" s="462" t="s">
        <v>704</v>
      </c>
      <c r="D272" s="463" t="s">
        <v>705</v>
      </c>
      <c r="E272" s="463" t="s">
        <v>706</v>
      </c>
      <c r="F272" s="463" t="s">
        <v>707</v>
      </c>
      <c r="G272" s="463" t="s">
        <v>708</v>
      </c>
      <c r="H272" s="464" t="s">
        <v>709</v>
      </c>
    </row>
    <row r="273" spans="2:8" ht="12.75" thickBot="1">
      <c r="B273" s="204"/>
      <c r="C273" s="465" t="s">
        <v>710</v>
      </c>
      <c r="D273" s="466">
        <v>613</v>
      </c>
      <c r="E273" s="466">
        <v>9</v>
      </c>
      <c r="F273" s="466">
        <v>604</v>
      </c>
      <c r="G273" s="467">
        <v>0.98531999999999997</v>
      </c>
      <c r="H273" s="468">
        <v>1.468E-2</v>
      </c>
    </row>
    <row r="274" spans="2:8" ht="12.75" thickBot="1">
      <c r="B274" s="204"/>
      <c r="C274" s="465" t="s">
        <v>711</v>
      </c>
      <c r="D274" s="466">
        <v>613</v>
      </c>
      <c r="E274" s="466">
        <v>155</v>
      </c>
      <c r="F274" s="466">
        <v>458</v>
      </c>
      <c r="G274" s="467">
        <v>0.74714999999999998</v>
      </c>
      <c r="H274" s="468">
        <v>0.25285000000000002</v>
      </c>
    </row>
    <row r="275" spans="2:8" ht="12.75" thickBot="1">
      <c r="C275" s="465" t="s">
        <v>463</v>
      </c>
      <c r="D275" s="466">
        <v>613</v>
      </c>
      <c r="E275" s="466">
        <v>33</v>
      </c>
      <c r="F275" s="466">
        <v>580</v>
      </c>
      <c r="G275" s="467">
        <v>0.94616999999999996</v>
      </c>
      <c r="H275" s="468">
        <v>5.3830000000000003E-2</v>
      </c>
    </row>
    <row r="276" spans="2:8" ht="12.75" thickBot="1">
      <c r="C276" s="465" t="s">
        <v>712</v>
      </c>
      <c r="D276" s="466">
        <v>613</v>
      </c>
      <c r="E276" s="466">
        <v>0</v>
      </c>
      <c r="F276" s="466">
        <v>613</v>
      </c>
      <c r="G276" s="467">
        <v>1</v>
      </c>
      <c r="H276" s="468">
        <v>0</v>
      </c>
    </row>
    <row r="277" spans="2:8" ht="12.75" thickBot="1">
      <c r="C277" s="469" t="s">
        <v>713</v>
      </c>
      <c r="D277" s="470">
        <v>613</v>
      </c>
      <c r="E277" s="470">
        <v>3</v>
      </c>
      <c r="F277" s="470">
        <v>610</v>
      </c>
      <c r="G277" s="471">
        <v>0.99511000000000005</v>
      </c>
      <c r="H277" s="472">
        <v>4.8900000000000002E-3</v>
      </c>
    </row>
    <row r="280" spans="2:8">
      <c r="D280" s="204">
        <f>F273/D273</f>
        <v>0.9853181076672104</v>
      </c>
    </row>
    <row r="281" spans="2:8">
      <c r="D281" s="204">
        <f t="shared" ref="D281:D284" si="7">F274/D274</f>
        <v>0.74714518760195758</v>
      </c>
    </row>
    <row r="282" spans="2:8">
      <c r="D282" s="204">
        <f t="shared" si="7"/>
        <v>0.9461663947797716</v>
      </c>
    </row>
    <row r="283" spans="2:8">
      <c r="D283" s="204">
        <f t="shared" si="7"/>
        <v>1</v>
      </c>
    </row>
    <row r="284" spans="2:8">
      <c r="D284" s="204">
        <f t="shared" si="7"/>
        <v>0.9951060358890701</v>
      </c>
    </row>
  </sheetData>
  <sheetProtection algorithmName="SHA-512" hashValue="XMAs+zjjUd2Xhr88aNHYpurGA9RwiIVSNZW2/eU82UUOyQzCkggY7XkyJI+boxaZtoQQSxWhlHFNdHdqZ2ogIg==" saltValue="nVbx+bu1vEOaKkxpYP6T1w==" spinCount="100000" sheet="1" objects="1" scenarios="1"/>
  <conditionalFormatting sqref="J393:J400 J402:J404 J406:J407 J259:J391 D393:E400 D402:E404 D406:E407 D259:E271 G393:H400 G402:H404 G406:H407 G259:H271 D162:H169 D171:H173 D175:H176 D28:H160 G278:H391 D278:E391">
    <cfRule type="cellIs" dxfId="120" priority="244" operator="equal">
      <formula>0</formula>
    </cfRule>
  </conditionalFormatting>
  <conditionalFormatting sqref="J468 J465 J477:J481 J470 D465:E465 D468:E468 D470:E470 D477:E481 D6:E6 E10:E18 G465:H465 G468:H468 C239 G470:H470 G477:H481 F14:H18 C247:C250 D256:D257 D258:E271 J255:J462 G256:H271 G278:H462 D278:E462 D218:H231 D217 F217:H217 G6:H6 H7:H13 D20:H216">
    <cfRule type="cellIs" dxfId="119" priority="271" operator="equal">
      <formula>0</formula>
    </cfRule>
  </conditionalFormatting>
  <conditionalFormatting sqref="C21:C26">
    <cfRule type="cellIs" dxfId="118" priority="279" operator="equal">
      <formula>0</formula>
    </cfRule>
  </conditionalFormatting>
  <conditionalFormatting sqref="C234 C237">
    <cfRule type="cellIs" dxfId="117" priority="258" operator="equal">
      <formula>0</formula>
    </cfRule>
  </conditionalFormatting>
  <conditionalFormatting sqref="C20">
    <cfRule type="cellIs" dxfId="116" priority="241" operator="equal">
      <formula>0</formula>
    </cfRule>
  </conditionalFormatting>
  <conditionalFormatting sqref="C246">
    <cfRule type="cellIs" dxfId="115" priority="260" operator="equal">
      <formula>0</formula>
    </cfRule>
  </conditionalFormatting>
  <conditionalFormatting sqref="C230:C231">
    <cfRule type="cellIs" dxfId="114" priority="254" operator="equal">
      <formula>0</formula>
    </cfRule>
  </conditionalFormatting>
  <conditionalFormatting sqref="C228:C229">
    <cfRule type="cellIs" dxfId="113" priority="112" operator="equal">
      <formula>0</formula>
    </cfRule>
  </conditionalFormatting>
  <conditionalFormatting sqref="D14:D17">
    <cfRule type="cellIs" dxfId="112" priority="101" operator="equal">
      <formula>0</formula>
    </cfRule>
  </conditionalFormatting>
  <conditionalFormatting sqref="D11:D13">
    <cfRule type="cellIs" dxfId="111" priority="100" operator="equal">
      <formula>0</formula>
    </cfRule>
  </conditionalFormatting>
  <conditionalFormatting sqref="D10">
    <cfRule type="cellIs" dxfId="110" priority="99" operator="equal">
      <formula>0</formula>
    </cfRule>
  </conditionalFormatting>
  <conditionalFormatting sqref="D18">
    <cfRule type="cellIs" dxfId="109" priority="98" operator="equal">
      <formula>0</formula>
    </cfRule>
  </conditionalFormatting>
  <conditionalFormatting sqref="C14:C17 C6 C8:C9">
    <cfRule type="cellIs" dxfId="108" priority="54" operator="equal">
      <formula>0</formula>
    </cfRule>
  </conditionalFormatting>
  <conditionalFormatting sqref="C11:C13">
    <cfRule type="cellIs" dxfId="107" priority="53" operator="equal">
      <formula>0</formula>
    </cfRule>
  </conditionalFormatting>
  <conditionalFormatting sqref="C10">
    <cfRule type="cellIs" dxfId="106" priority="52" operator="equal">
      <formula>0</formula>
    </cfRule>
  </conditionalFormatting>
  <conditionalFormatting sqref="C18">
    <cfRule type="cellIs" dxfId="105" priority="51" operator="equal">
      <formula>0</formula>
    </cfRule>
  </conditionalFormatting>
  <conditionalFormatting sqref="D7:E9">
    <cfRule type="cellIs" dxfId="104" priority="90" operator="equal">
      <formula>0</formula>
    </cfRule>
  </conditionalFormatting>
  <conditionalFormatting sqref="C177 C135 C145:C175 C27:C130 C186:C193">
    <cfRule type="cellIs" dxfId="103" priority="50" operator="equal">
      <formula>0</formula>
    </cfRule>
  </conditionalFormatting>
  <conditionalFormatting sqref="C238">
    <cfRule type="cellIs" dxfId="102" priority="87" operator="equal">
      <formula>0</formula>
    </cfRule>
  </conditionalFormatting>
  <conditionalFormatting sqref="C240">
    <cfRule type="cellIs" dxfId="101" priority="86" operator="equal">
      <formula>0</formula>
    </cfRule>
  </conditionalFormatting>
  <conditionalFormatting sqref="E247:E250 E239">
    <cfRule type="cellIs" dxfId="100" priority="85" operator="equal">
      <formula>0</formula>
    </cfRule>
  </conditionalFormatting>
  <conditionalFormatting sqref="E234 E237">
    <cfRule type="cellIs" dxfId="99" priority="83" operator="equal">
      <formula>0</formula>
    </cfRule>
  </conditionalFormatting>
  <conditionalFormatting sqref="E246">
    <cfRule type="cellIs" dxfId="98" priority="84" operator="equal">
      <formula>0</formula>
    </cfRule>
  </conditionalFormatting>
  <conditionalFormatting sqref="E238">
    <cfRule type="cellIs" dxfId="97" priority="82" operator="equal">
      <formula>0</formula>
    </cfRule>
  </conditionalFormatting>
  <conditionalFormatting sqref="E240">
    <cfRule type="cellIs" dxfId="96" priority="81" operator="equal">
      <formula>0</formula>
    </cfRule>
  </conditionalFormatting>
  <conditionalFormatting sqref="D239">
    <cfRule type="cellIs" dxfId="95" priority="80" operator="equal">
      <formula>0</formula>
    </cfRule>
  </conditionalFormatting>
  <conditionalFormatting sqref="D238">
    <cfRule type="cellIs" dxfId="94" priority="79" operator="equal">
      <formula>0</formula>
    </cfRule>
  </conditionalFormatting>
  <conditionalFormatting sqref="D240">
    <cfRule type="cellIs" dxfId="93" priority="78" operator="equal">
      <formula>0</formula>
    </cfRule>
  </conditionalFormatting>
  <conditionalFormatting sqref="D247:D250">
    <cfRule type="cellIs" dxfId="92" priority="77" operator="equal">
      <formula>0</formula>
    </cfRule>
  </conditionalFormatting>
  <conditionalFormatting sqref="D246">
    <cfRule type="cellIs" dxfId="91" priority="76" operator="equal">
      <formula>0</formula>
    </cfRule>
  </conditionalFormatting>
  <conditionalFormatting sqref="D234 D237">
    <cfRule type="cellIs" dxfId="90" priority="75" operator="equal">
      <formula>0</formula>
    </cfRule>
  </conditionalFormatting>
  <conditionalFormatting sqref="B271:B274">
    <cfRule type="cellIs" dxfId="89" priority="73" operator="equal">
      <formula>0</formula>
    </cfRule>
  </conditionalFormatting>
  <conditionalFormatting sqref="B271:B274">
    <cfRule type="cellIs" dxfId="88" priority="74" operator="equal">
      <formula>0</formula>
    </cfRule>
  </conditionalFormatting>
  <conditionalFormatting sqref="F239">
    <cfRule type="cellIs" dxfId="87" priority="72" operator="equal">
      <formula>0</formula>
    </cfRule>
  </conditionalFormatting>
  <conditionalFormatting sqref="F238">
    <cfRule type="cellIs" dxfId="86" priority="71" operator="equal">
      <formula>0</formula>
    </cfRule>
  </conditionalFormatting>
  <conditionalFormatting sqref="F240">
    <cfRule type="cellIs" dxfId="85" priority="70" operator="equal">
      <formula>0</formula>
    </cfRule>
  </conditionalFormatting>
  <conditionalFormatting sqref="F247:F250">
    <cfRule type="cellIs" dxfId="84" priority="69" operator="equal">
      <formula>0</formula>
    </cfRule>
  </conditionalFormatting>
  <conditionalFormatting sqref="F246">
    <cfRule type="cellIs" dxfId="83" priority="68" operator="equal">
      <formula>0</formula>
    </cfRule>
  </conditionalFormatting>
  <conditionalFormatting sqref="F234 F237">
    <cfRule type="cellIs" dxfId="82" priority="67" operator="equal">
      <formula>0</formula>
    </cfRule>
  </conditionalFormatting>
  <conditionalFormatting sqref="G239">
    <cfRule type="cellIs" dxfId="81" priority="66" operator="equal">
      <formula>0</formula>
    </cfRule>
  </conditionalFormatting>
  <conditionalFormatting sqref="G238">
    <cfRule type="cellIs" dxfId="80" priority="65" operator="equal">
      <formula>0</formula>
    </cfRule>
  </conditionalFormatting>
  <conditionalFormatting sqref="G240">
    <cfRule type="cellIs" dxfId="79" priority="64" operator="equal">
      <formula>0</formula>
    </cfRule>
  </conditionalFormatting>
  <conditionalFormatting sqref="G247:G250">
    <cfRule type="cellIs" dxfId="78" priority="63" operator="equal">
      <formula>0</formula>
    </cfRule>
  </conditionalFormatting>
  <conditionalFormatting sqref="G246">
    <cfRule type="cellIs" dxfId="77" priority="62" operator="equal">
      <formula>0</formula>
    </cfRule>
  </conditionalFormatting>
  <conditionalFormatting sqref="G234 G237">
    <cfRule type="cellIs" dxfId="76" priority="61" operator="equal">
      <formula>0</formula>
    </cfRule>
  </conditionalFormatting>
  <conditionalFormatting sqref="H239">
    <cfRule type="cellIs" dxfId="75" priority="60" operator="equal">
      <formula>0</formula>
    </cfRule>
  </conditionalFormatting>
  <conditionalFormatting sqref="H238">
    <cfRule type="cellIs" dxfId="74" priority="59" operator="equal">
      <formula>0</formula>
    </cfRule>
  </conditionalFormatting>
  <conditionalFormatting sqref="H240">
    <cfRule type="cellIs" dxfId="73" priority="58" operator="equal">
      <formula>0</formula>
    </cfRule>
  </conditionalFormatting>
  <conditionalFormatting sqref="H247:H250">
    <cfRule type="cellIs" dxfId="72" priority="57" operator="equal">
      <formula>0</formula>
    </cfRule>
  </conditionalFormatting>
  <conditionalFormatting sqref="H246">
    <cfRule type="cellIs" dxfId="71" priority="56" operator="equal">
      <formula>0</formula>
    </cfRule>
  </conditionalFormatting>
  <conditionalFormatting sqref="H234 H237">
    <cfRule type="cellIs" dxfId="70" priority="55" operator="equal">
      <formula>0</formula>
    </cfRule>
  </conditionalFormatting>
  <conditionalFormatting sqref="C93 C114 C130 C145:C146 C45:C68">
    <cfRule type="cellIs" dxfId="69" priority="49" operator="equal">
      <formula>0</formula>
    </cfRule>
  </conditionalFormatting>
  <conditionalFormatting sqref="C135">
    <cfRule type="cellIs" dxfId="68" priority="48" operator="equal">
      <formula>0</formula>
    </cfRule>
  </conditionalFormatting>
  <conditionalFormatting sqref="C97">
    <cfRule type="cellIs" dxfId="67" priority="47" operator="equal">
      <formula>0</formula>
    </cfRule>
  </conditionalFormatting>
  <conditionalFormatting sqref="C69">
    <cfRule type="cellIs" dxfId="66" priority="46" operator="equal">
      <formula>0</formula>
    </cfRule>
  </conditionalFormatting>
  <conditionalFormatting sqref="C44">
    <cfRule type="cellIs" dxfId="65" priority="45" operator="equal">
      <formula>0</formula>
    </cfRule>
  </conditionalFormatting>
  <conditionalFormatting sqref="C29:C43">
    <cfRule type="cellIs" dxfId="64" priority="44" operator="equal">
      <formula>0</formula>
    </cfRule>
  </conditionalFormatting>
  <conditionalFormatting sqref="C28">
    <cfRule type="cellIs" dxfId="63" priority="43" operator="equal">
      <formula>0</formula>
    </cfRule>
  </conditionalFormatting>
  <conditionalFormatting sqref="C27">
    <cfRule type="cellIs" dxfId="62" priority="42" operator="equal">
      <formula>0</formula>
    </cfRule>
  </conditionalFormatting>
  <conditionalFormatting sqref="C175">
    <cfRule type="cellIs" dxfId="61" priority="32" operator="equal">
      <formula>0</formula>
    </cfRule>
  </conditionalFormatting>
  <conditionalFormatting sqref="C70:C92">
    <cfRule type="cellIs" dxfId="60" priority="41" operator="equal">
      <formula>0</formula>
    </cfRule>
  </conditionalFormatting>
  <conditionalFormatting sqref="C94:C96">
    <cfRule type="cellIs" dxfId="59" priority="40" operator="equal">
      <formula>0</formula>
    </cfRule>
  </conditionalFormatting>
  <conditionalFormatting sqref="C95">
    <cfRule type="cellIs" dxfId="58" priority="39" operator="equal">
      <formula>0</formula>
    </cfRule>
  </conditionalFormatting>
  <conditionalFormatting sqref="C96">
    <cfRule type="cellIs" dxfId="57" priority="38" operator="equal">
      <formula>0</formula>
    </cfRule>
  </conditionalFormatting>
  <conditionalFormatting sqref="C98:C113">
    <cfRule type="cellIs" dxfId="56" priority="37" operator="equal">
      <formula>0</formula>
    </cfRule>
  </conditionalFormatting>
  <conditionalFormatting sqref="C115:C129">
    <cfRule type="cellIs" dxfId="55" priority="36" operator="equal">
      <formula>0</formula>
    </cfRule>
  </conditionalFormatting>
  <conditionalFormatting sqref="C171:C173">
    <cfRule type="cellIs" dxfId="54" priority="33" operator="equal">
      <formula>0</formula>
    </cfRule>
  </conditionalFormatting>
  <conditionalFormatting sqref="C162:C169">
    <cfRule type="cellIs" dxfId="53" priority="34" operator="equal">
      <formula>0</formula>
    </cfRule>
  </conditionalFormatting>
  <conditionalFormatting sqref="C147:C160">
    <cfRule type="cellIs" dxfId="52" priority="35" operator="equal">
      <formula>0</formula>
    </cfRule>
  </conditionalFormatting>
  <conditionalFormatting sqref="C212:C213 C194:C205">
    <cfRule type="cellIs" dxfId="51" priority="31" operator="equal">
      <formula>0</formula>
    </cfRule>
  </conditionalFormatting>
  <conditionalFormatting sqref="C211">
    <cfRule type="cellIs" dxfId="50" priority="30" operator="equal">
      <formula>0</formula>
    </cfRule>
  </conditionalFormatting>
  <conditionalFormatting sqref="C219:C222">
    <cfRule type="cellIs" dxfId="49" priority="29" operator="equal">
      <formula>0</formula>
    </cfRule>
  </conditionalFormatting>
  <conditionalFormatting sqref="C176">
    <cfRule type="cellIs" dxfId="48" priority="25" operator="equal">
      <formula>0</formula>
    </cfRule>
  </conditionalFormatting>
  <conditionalFormatting sqref="C176">
    <cfRule type="cellIs" dxfId="47" priority="28" operator="equal">
      <formula>0</formula>
    </cfRule>
  </conditionalFormatting>
  <conditionalFormatting sqref="C176">
    <cfRule type="cellIs" dxfId="46" priority="27" operator="equal">
      <formula>0</formula>
    </cfRule>
  </conditionalFormatting>
  <conditionalFormatting sqref="C176">
    <cfRule type="cellIs" dxfId="45" priority="26" operator="equal">
      <formula>0</formula>
    </cfRule>
  </conditionalFormatting>
  <conditionalFormatting sqref="C136:C144">
    <cfRule type="cellIs" dxfId="44" priority="17" operator="equal">
      <formula>0</formula>
    </cfRule>
  </conditionalFormatting>
  <conditionalFormatting sqref="C131:C134">
    <cfRule type="cellIs" dxfId="43" priority="23" operator="equal">
      <formula>0</formula>
    </cfRule>
  </conditionalFormatting>
  <conditionalFormatting sqref="C131:C134">
    <cfRule type="cellIs" dxfId="42" priority="22" operator="equal">
      <formula>0</formula>
    </cfRule>
  </conditionalFormatting>
  <conditionalFormatting sqref="C132">
    <cfRule type="cellIs" dxfId="41" priority="21" operator="equal">
      <formula>0</formula>
    </cfRule>
  </conditionalFormatting>
  <conditionalFormatting sqref="C133">
    <cfRule type="cellIs" dxfId="40" priority="20" operator="equal">
      <formula>0</formula>
    </cfRule>
  </conditionalFormatting>
  <conditionalFormatting sqref="C134">
    <cfRule type="cellIs" dxfId="39" priority="19" operator="equal">
      <formula>0</formula>
    </cfRule>
  </conditionalFormatting>
  <conditionalFormatting sqref="C136:C144">
    <cfRule type="cellIs" dxfId="38" priority="18" operator="equal">
      <formula>0</formula>
    </cfRule>
  </conditionalFormatting>
  <conditionalFormatting sqref="C7:C9">
    <cfRule type="cellIs" dxfId="37" priority="16" operator="equal">
      <formula>0</formula>
    </cfRule>
  </conditionalFormatting>
  <conditionalFormatting sqref="C180:C185">
    <cfRule type="cellIs" dxfId="36" priority="15" operator="equal">
      <formula>0</formula>
    </cfRule>
  </conditionalFormatting>
  <conditionalFormatting sqref="C178:C179">
    <cfRule type="cellIs" dxfId="35" priority="14" operator="equal">
      <formula>0</formula>
    </cfRule>
  </conditionalFormatting>
  <conditionalFormatting sqref="C214:C218">
    <cfRule type="cellIs" dxfId="34" priority="13" operator="equal">
      <formula>0</formula>
    </cfRule>
  </conditionalFormatting>
  <conditionalFormatting sqref="C223:C227">
    <cfRule type="cellIs" dxfId="33" priority="12" operator="equal">
      <formula>0</formula>
    </cfRule>
  </conditionalFormatting>
  <conditionalFormatting sqref="C19:H19">
    <cfRule type="cellIs" dxfId="32" priority="11" operator="equal">
      <formula>0</formula>
    </cfRule>
  </conditionalFormatting>
  <conditionalFormatting sqref="C19:H19">
    <cfRule type="cellIs" dxfId="31" priority="10" operator="equal">
      <formula>0</formula>
    </cfRule>
  </conditionalFormatting>
  <conditionalFormatting sqref="F6">
    <cfRule type="cellIs" dxfId="30" priority="9" operator="equal">
      <formula>0</formula>
    </cfRule>
  </conditionalFormatting>
  <conditionalFormatting sqref="F11:F13">
    <cfRule type="cellIs" dxfId="29" priority="8" operator="equal">
      <formula>0</formula>
    </cfRule>
  </conditionalFormatting>
  <conditionalFormatting sqref="F10">
    <cfRule type="cellIs" dxfId="28" priority="7" operator="equal">
      <formula>0</formula>
    </cfRule>
  </conditionalFormatting>
  <conditionalFormatting sqref="F7:F9">
    <cfRule type="cellIs" dxfId="27" priority="6" operator="equal">
      <formula>0</formula>
    </cfRule>
  </conditionalFormatting>
  <conditionalFormatting sqref="G11:G13">
    <cfRule type="cellIs" dxfId="26" priority="5" operator="equal">
      <formula>0</formula>
    </cfRule>
  </conditionalFormatting>
  <conditionalFormatting sqref="G10">
    <cfRule type="cellIs" dxfId="25" priority="4" operator="equal">
      <formula>0</formula>
    </cfRule>
  </conditionalFormatting>
  <conditionalFormatting sqref="G7:G9">
    <cfRule type="cellIs" dxfId="24" priority="3" operator="equal">
      <formula>0</formula>
    </cfRule>
  </conditionalFormatting>
  <conditionalFormatting sqref="E217">
    <cfRule type="cellIs" dxfId="23" priority="2" operator="equal">
      <formula>0</formula>
    </cfRule>
  </conditionalFormatting>
  <conditionalFormatting sqref="C206:C210">
    <cfRule type="cellIs" dxfId="22" priority="1" operator="equal">
      <formula>0</formula>
    </cfRule>
  </conditionalFormatting>
  <pageMargins left="0.75" right="0.75" top="1" bottom="1" header="0.5" footer="0.5"/>
  <pageSetup orientation="portrait" horizontalDpi="4294967292" verticalDpi="4294967292"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3"/>
  <sheetViews>
    <sheetView showGridLines="0" showRowColHeaders="0" workbookViewId="0">
      <selection activeCell="B8" sqref="B8"/>
    </sheetView>
  </sheetViews>
  <sheetFormatPr defaultColWidth="8.85546875" defaultRowHeight="15"/>
  <cols>
    <col min="1" max="1" width="4.42578125" customWidth="1"/>
    <col min="2" max="2" width="22" customWidth="1"/>
    <col min="3" max="5" width="8.85546875" customWidth="1"/>
    <col min="6" max="6" width="150.140625" customWidth="1"/>
    <col min="7" max="7" width="6.7109375" customWidth="1"/>
  </cols>
  <sheetData>
    <row r="1" spans="2:8" ht="15.75">
      <c r="B1" s="400" t="s">
        <v>204</v>
      </c>
      <c r="C1" s="400"/>
      <c r="D1" s="4"/>
      <c r="E1" s="4"/>
      <c r="F1" s="4"/>
      <c r="G1" s="4"/>
      <c r="H1" s="4"/>
    </row>
    <row r="2" spans="2:8" ht="15.75">
      <c r="B2" s="12" t="s">
        <v>696</v>
      </c>
      <c r="C2" s="4"/>
      <c r="D2" s="4"/>
      <c r="E2" s="4"/>
      <c r="F2" s="4"/>
      <c r="G2" s="4"/>
      <c r="H2" s="4"/>
    </row>
    <row r="3" spans="2:8" ht="15.75">
      <c r="B3" s="8"/>
      <c r="C3" s="4"/>
      <c r="D3" s="4"/>
      <c r="E3" s="4"/>
      <c r="F3" s="4"/>
      <c r="G3" s="4"/>
      <c r="H3" s="4"/>
    </row>
    <row r="4" spans="2:8" ht="15.75">
      <c r="B4" s="9" t="s">
        <v>106</v>
      </c>
      <c r="C4" s="4"/>
      <c r="D4" s="4"/>
      <c r="E4" s="4"/>
      <c r="F4" s="4"/>
      <c r="G4" s="4"/>
      <c r="H4" s="4"/>
    </row>
    <row r="5" spans="2:8" ht="15.75">
      <c r="B5" s="8" t="s">
        <v>202</v>
      </c>
      <c r="C5" s="4"/>
      <c r="G5" s="4"/>
      <c r="H5" s="4"/>
    </row>
    <row r="6" spans="2:8" ht="15.75">
      <c r="B6" s="8" t="s">
        <v>406</v>
      </c>
      <c r="C6" s="4"/>
      <c r="D6" s="8" t="s">
        <v>107</v>
      </c>
      <c r="E6" s="8" t="s">
        <v>203</v>
      </c>
      <c r="F6" s="4"/>
      <c r="G6" s="4"/>
      <c r="H6" s="4"/>
    </row>
    <row r="7" spans="2:8" ht="15.75">
      <c r="B7" s="8" t="s">
        <v>407</v>
      </c>
      <c r="C7" s="4"/>
      <c r="D7" s="8" t="s">
        <v>108</v>
      </c>
      <c r="E7" s="10" t="s">
        <v>109</v>
      </c>
      <c r="F7" s="4"/>
      <c r="G7" s="4"/>
      <c r="H7" s="4"/>
    </row>
    <row r="8" spans="2:8" ht="15.75">
      <c r="B8" s="8" t="s">
        <v>112</v>
      </c>
      <c r="C8" s="4"/>
      <c r="D8" s="8" t="s">
        <v>110</v>
      </c>
      <c r="E8" s="10" t="s">
        <v>111</v>
      </c>
      <c r="F8" s="4"/>
      <c r="G8" s="4"/>
      <c r="H8" s="4"/>
    </row>
    <row r="9" spans="2:8" ht="15.75">
      <c r="B9" s="8"/>
      <c r="C9" s="4"/>
      <c r="D9" s="4"/>
      <c r="E9" s="4"/>
      <c r="F9" s="4"/>
      <c r="G9" s="4"/>
      <c r="H9" s="4"/>
    </row>
    <row r="10" spans="2:8" ht="15.75">
      <c r="B10" s="4"/>
      <c r="C10" s="4"/>
      <c r="D10" s="4"/>
      <c r="E10" s="4"/>
      <c r="F10" s="4"/>
      <c r="G10" s="4"/>
      <c r="H10" s="4"/>
    </row>
    <row r="11" spans="2:8" ht="15.75" customHeight="1">
      <c r="B11" s="4"/>
      <c r="C11" s="8"/>
      <c r="D11" s="8"/>
      <c r="E11" s="8"/>
      <c r="F11" s="401" t="s">
        <v>695</v>
      </c>
      <c r="G11" s="4"/>
      <c r="H11" s="4"/>
    </row>
    <row r="12" spans="2:8" ht="15.75">
      <c r="B12" s="4"/>
      <c r="C12" s="8"/>
      <c r="D12" s="8"/>
      <c r="E12" s="8"/>
      <c r="F12" s="401"/>
      <c r="G12" s="4"/>
      <c r="H12" s="4"/>
    </row>
    <row r="13" spans="2:8" ht="15.75">
      <c r="B13" s="4"/>
      <c r="C13" s="8"/>
      <c r="D13" s="8"/>
      <c r="E13" s="8"/>
      <c r="F13" s="401"/>
      <c r="G13" s="4"/>
      <c r="H13" s="4"/>
    </row>
    <row r="14" spans="2:8" ht="15.75">
      <c r="B14" s="4"/>
      <c r="C14" s="8"/>
      <c r="D14" s="8"/>
      <c r="E14" s="8"/>
      <c r="F14" s="401"/>
      <c r="G14" s="4"/>
      <c r="H14" s="4"/>
    </row>
    <row r="15" spans="2:8" ht="15.75">
      <c r="B15" s="4"/>
      <c r="C15" s="11"/>
      <c r="D15" s="11"/>
      <c r="E15" s="11"/>
      <c r="F15" s="401"/>
      <c r="G15" s="4"/>
      <c r="H15" s="4"/>
    </row>
    <row r="16" spans="2:8" ht="15.75">
      <c r="B16" s="4"/>
      <c r="C16" s="8"/>
      <c r="D16" s="8"/>
      <c r="E16" s="8"/>
      <c r="F16" s="401"/>
      <c r="G16" s="4"/>
      <c r="H16" s="4"/>
    </row>
    <row r="17" spans="2:8" ht="15.75">
      <c r="B17" s="4"/>
      <c r="C17" s="8"/>
      <c r="D17" s="8"/>
      <c r="E17" s="8"/>
      <c r="F17" s="401"/>
      <c r="G17" s="4"/>
      <c r="H17" s="4"/>
    </row>
    <row r="18" spans="2:8" ht="23.1" customHeight="1">
      <c r="B18" s="4"/>
      <c r="C18" s="8"/>
      <c r="D18" s="8"/>
      <c r="E18" s="8"/>
      <c r="F18" s="401"/>
      <c r="G18" s="4"/>
      <c r="H18" s="4"/>
    </row>
    <row r="19" spans="2:8" ht="15.75">
      <c r="B19" s="4"/>
      <c r="C19" s="4"/>
      <c r="D19" s="4"/>
      <c r="E19" s="4"/>
      <c r="F19" s="401"/>
      <c r="G19" s="4"/>
      <c r="H19" s="4"/>
    </row>
    <row r="20" spans="2:8">
      <c r="B20" s="1"/>
      <c r="C20" s="1"/>
      <c r="D20" s="1"/>
      <c r="E20" s="1"/>
      <c r="F20" s="401"/>
      <c r="G20" s="1"/>
      <c r="H20" s="1"/>
    </row>
    <row r="21" spans="2:8">
      <c r="B21" s="1"/>
      <c r="C21" s="1"/>
      <c r="D21" s="1"/>
      <c r="E21" s="1"/>
      <c r="F21" s="401"/>
      <c r="G21" s="1"/>
      <c r="H21" s="1"/>
    </row>
    <row r="22" spans="2:8">
      <c r="B22" s="1"/>
      <c r="C22" s="1"/>
      <c r="D22" s="1"/>
      <c r="E22" s="1"/>
      <c r="F22" s="401"/>
      <c r="G22" s="1"/>
      <c r="H22" s="1"/>
    </row>
    <row r="23" spans="2:8">
      <c r="B23" s="1"/>
      <c r="C23" s="1"/>
      <c r="D23" s="1"/>
      <c r="E23" s="1"/>
      <c r="F23" s="401"/>
      <c r="G23" s="1"/>
      <c r="H23" s="1"/>
    </row>
    <row r="24" spans="2:8">
      <c r="B24" s="1"/>
      <c r="C24" s="1"/>
      <c r="D24" s="1"/>
      <c r="E24" s="1"/>
      <c r="F24" s="401"/>
      <c r="G24" s="1"/>
      <c r="H24" s="1"/>
    </row>
    <row r="25" spans="2:8">
      <c r="B25" s="1"/>
      <c r="C25" s="1"/>
      <c r="D25" s="1"/>
      <c r="E25" s="1"/>
      <c r="F25" s="401"/>
      <c r="G25" s="1"/>
      <c r="H25" s="1"/>
    </row>
    <row r="26" spans="2:8">
      <c r="B26" s="1"/>
      <c r="C26" s="1"/>
      <c r="D26" s="1"/>
      <c r="E26" s="1"/>
      <c r="F26" s="401"/>
      <c r="G26" s="1"/>
      <c r="H26" s="1"/>
    </row>
    <row r="27" spans="2:8">
      <c r="B27" s="1"/>
      <c r="C27" s="1"/>
      <c r="D27" s="1"/>
      <c r="E27" s="1"/>
      <c r="F27" s="401"/>
      <c r="G27" s="1"/>
      <c r="H27" s="1"/>
    </row>
    <row r="28" spans="2:8">
      <c r="B28" s="1"/>
      <c r="C28" s="1"/>
      <c r="D28" s="1"/>
      <c r="E28" s="1"/>
      <c r="F28" s="1"/>
      <c r="G28" s="1"/>
      <c r="H28" s="1"/>
    </row>
    <row r="29" spans="2:8">
      <c r="B29" s="1"/>
      <c r="C29" s="1"/>
      <c r="D29" s="1"/>
      <c r="E29" s="1"/>
      <c r="F29" s="1"/>
      <c r="G29" s="1"/>
      <c r="H29" s="1"/>
    </row>
    <row r="30" spans="2:8">
      <c r="B30" s="1"/>
      <c r="C30" s="1"/>
      <c r="D30" s="1"/>
      <c r="E30" s="1"/>
      <c r="F30" s="1"/>
      <c r="G30" s="1"/>
      <c r="H30" s="1"/>
    </row>
    <row r="31" spans="2:8">
      <c r="B31" s="1"/>
      <c r="C31" s="1"/>
      <c r="D31" s="1"/>
      <c r="E31" s="1"/>
      <c r="F31" s="1"/>
      <c r="G31" s="1"/>
      <c r="H31" s="1"/>
    </row>
    <row r="32" spans="2:8">
      <c r="B32" s="1"/>
      <c r="C32" s="1"/>
      <c r="D32" s="1"/>
      <c r="E32" s="1"/>
      <c r="F32" s="1"/>
      <c r="G32" s="1"/>
      <c r="H32" s="1"/>
    </row>
    <row r="33" spans="2:8">
      <c r="B33" s="1"/>
      <c r="C33" s="1"/>
      <c r="D33" s="1"/>
      <c r="E33" s="1"/>
      <c r="F33" s="1"/>
      <c r="G33" s="1"/>
      <c r="H33" s="1"/>
    </row>
  </sheetData>
  <sheetProtection algorithmName="SHA-512" hashValue="aILsOaEf14w4nj6OiwALW2mGHkfNBoTQSQ85DX/Fj7xSjaMQnsq++3u3FrNk8JZn61eFVW3QfVLCIyZIyQiXbg==" saltValue="hxinDeFZ9ZAU7QwkSWxqQA==" spinCount="100000" sheet="1" objects="1" scenarios="1"/>
  <mergeCells count="2">
    <mergeCell ref="B1:C1"/>
    <mergeCell ref="F11:F27"/>
  </mergeCells>
  <phoneticPr fontId="11" type="noConversion"/>
  <hyperlinks>
    <hyperlink ref="E7" r:id="rId1" display="mailto:info@nsslabs.com"/>
    <hyperlink ref="E8" r:id="rId2" display="http://www.nsslabs.com/"/>
  </hyperlinks>
  <pageMargins left="0.75" right="0.75" top="1" bottom="1" header="0.5" footer="0.5"/>
  <pageSetup orientation="portrait" horizontalDpi="4294967292" verticalDpi="4294967292" r:id="rId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93"/>
  <sheetViews>
    <sheetView showGridLines="0" zoomScaleNormal="100" workbookViewId="0">
      <selection activeCell="C29" sqref="C29"/>
    </sheetView>
  </sheetViews>
  <sheetFormatPr defaultColWidth="10.85546875" defaultRowHeight="12.75"/>
  <cols>
    <col min="1" max="1" width="46.5703125" style="16" bestFit="1" customWidth="1"/>
    <col min="2" max="2" width="54.5703125" style="92" customWidth="1"/>
    <col min="3" max="3" width="21.85546875" style="92" bestFit="1" customWidth="1"/>
    <col min="4" max="4" width="23.7109375" style="92" bestFit="1" customWidth="1"/>
    <col min="5" max="5" width="23.85546875" style="92" bestFit="1" customWidth="1"/>
    <col min="6" max="7" width="36.7109375" style="92" bestFit="1" customWidth="1"/>
    <col min="8" max="8" width="25.7109375" style="357" bestFit="1" customWidth="1"/>
    <col min="9" max="9" width="43" style="16" customWidth="1"/>
    <col min="10" max="10" width="32.28515625" style="16" customWidth="1"/>
    <col min="11" max="11" width="32.140625" style="16" customWidth="1"/>
    <col min="12" max="12" width="25.140625" style="16" customWidth="1"/>
    <col min="13" max="13" width="35.5703125" style="16" bestFit="1" customWidth="1"/>
    <col min="14" max="14" width="29.140625" style="16" bestFit="1" customWidth="1"/>
    <col min="15" max="15" width="21" style="16" customWidth="1"/>
    <col min="16" max="16" width="23.7109375" style="16" customWidth="1"/>
    <col min="17" max="17" width="27.42578125" style="16" customWidth="1"/>
    <col min="18" max="16384" width="10.85546875" style="16"/>
  </cols>
  <sheetData>
    <row r="1" spans="2:8">
      <c r="B1" s="93" t="s">
        <v>425</v>
      </c>
    </row>
    <row r="2" spans="2:8">
      <c r="B2" s="90" t="s">
        <v>86</v>
      </c>
      <c r="C2" s="111" t="s">
        <v>675</v>
      </c>
      <c r="D2" s="111" t="s">
        <v>101</v>
      </c>
    </row>
    <row r="3" spans="2:8">
      <c r="B3" s="91" t="s">
        <v>102</v>
      </c>
      <c r="C3" s="112">
        <v>20</v>
      </c>
      <c r="D3" s="112">
        <v>1</v>
      </c>
    </row>
    <row r="5" spans="2:8">
      <c r="B5" s="93" t="s">
        <v>426</v>
      </c>
      <c r="C5" s="113"/>
      <c r="D5" s="113"/>
    </row>
    <row r="6" spans="2:8">
      <c r="B6" s="94" t="s">
        <v>85</v>
      </c>
      <c r="C6" s="114">
        <v>75</v>
      </c>
    </row>
    <row r="7" spans="2:8">
      <c r="B7" s="95" t="s">
        <v>86</v>
      </c>
      <c r="C7" s="206" t="s">
        <v>701</v>
      </c>
      <c r="D7" s="206" t="s">
        <v>700</v>
      </c>
      <c r="E7" s="206" t="s">
        <v>698</v>
      </c>
      <c r="F7" s="206" t="s">
        <v>716</v>
      </c>
      <c r="G7" s="206" t="s">
        <v>717</v>
      </c>
      <c r="H7" s="206" t="s">
        <v>699</v>
      </c>
    </row>
    <row r="8" spans="2:8">
      <c r="B8" s="94" t="s">
        <v>94</v>
      </c>
      <c r="C8" s="115">
        <f t="shared" ref="C8:H8" si="0">$C$6</f>
        <v>75</v>
      </c>
      <c r="D8" s="115">
        <f t="shared" si="0"/>
        <v>75</v>
      </c>
      <c r="E8" s="115">
        <f t="shared" si="0"/>
        <v>75</v>
      </c>
      <c r="F8" s="115">
        <f t="shared" si="0"/>
        <v>75</v>
      </c>
      <c r="G8" s="115">
        <f t="shared" si="0"/>
        <v>75</v>
      </c>
      <c r="H8" s="115">
        <f t="shared" si="0"/>
        <v>75</v>
      </c>
    </row>
    <row r="10" spans="2:8">
      <c r="B10" s="93" t="s">
        <v>427</v>
      </c>
    </row>
    <row r="11" spans="2:8">
      <c r="B11" s="94" t="s">
        <v>130</v>
      </c>
      <c r="C11" s="113"/>
      <c r="D11" s="113"/>
    </row>
    <row r="12" spans="2:8">
      <c r="B12" s="94" t="s">
        <v>152</v>
      </c>
      <c r="C12" s="113"/>
      <c r="D12" s="113"/>
    </row>
    <row r="13" spans="2:8">
      <c r="B13" s="96" t="s">
        <v>86</v>
      </c>
      <c r="C13" s="206" t="s">
        <v>701</v>
      </c>
      <c r="D13" s="206" t="s">
        <v>700</v>
      </c>
      <c r="E13" s="206" t="s">
        <v>698</v>
      </c>
      <c r="F13" s="206" t="s">
        <v>716</v>
      </c>
      <c r="G13" s="206" t="s">
        <v>717</v>
      </c>
      <c r="H13" s="206" t="s">
        <v>699</v>
      </c>
    </row>
    <row r="14" spans="2:8">
      <c r="B14" s="94" t="s">
        <v>84</v>
      </c>
      <c r="C14" s="115">
        <f>HLOOKUP(Comb_scrd[[#Headers],[Cisco FirePOWER 8350]],Comb_scrd[#All],234,FALSE)</f>
        <v>8</v>
      </c>
      <c r="D14" s="115">
        <f>HLOOKUP(Comb_scrd[[#Headers],[Fortinet FortiGate-1500D]],Comb_scrd[#All],234,FALSE)</f>
        <v>8</v>
      </c>
      <c r="E14" s="115">
        <f>HLOOKUP(Comb_scrd[[#Headers],[HP TippingPoint S7500NX]],Comb_scrd[#All],234,FALSE)</f>
        <v>8</v>
      </c>
      <c r="F14" s="115">
        <f>HLOOKUP(Comb_scrd[[#Headers],[IBM Security Network Protection XGS 5100]],Comb_scrd[#All],234,FALSE)</f>
        <v>8</v>
      </c>
      <c r="G14" s="115">
        <f>HLOOKUP(Comb_scrd[[#Headers],[IBM Security Network Protection XGS 7100]],Comb_scrd[#All],234,FALSE)</f>
        <v>8</v>
      </c>
      <c r="H14" s="115">
        <f>HLOOKUP(Comb_scrd[[#Headers],[Palo Alto Networks PA-5020]],Comb_scrd[#All],234,FALSE)</f>
        <v>8</v>
      </c>
    </row>
    <row r="15" spans="2:8" ht="13.5" customHeight="1">
      <c r="B15" s="89" t="s">
        <v>205</v>
      </c>
      <c r="C15" s="115">
        <v>0</v>
      </c>
      <c r="D15" s="115">
        <v>0</v>
      </c>
      <c r="E15" s="115">
        <v>0</v>
      </c>
      <c r="F15" s="115">
        <v>0</v>
      </c>
      <c r="G15" s="115">
        <v>0</v>
      </c>
      <c r="H15" s="115">
        <v>0</v>
      </c>
    </row>
    <row r="16" spans="2:8">
      <c r="B16" s="97" t="s">
        <v>150</v>
      </c>
      <c r="C16" s="115">
        <v>0</v>
      </c>
      <c r="D16" s="115">
        <v>0</v>
      </c>
      <c r="E16" s="115">
        <v>0</v>
      </c>
      <c r="F16" s="115">
        <v>0</v>
      </c>
      <c r="G16" s="115">
        <v>0</v>
      </c>
      <c r="H16" s="115">
        <v>0</v>
      </c>
    </row>
    <row r="18" spans="2:8">
      <c r="B18" s="98" t="s">
        <v>428</v>
      </c>
    </row>
    <row r="19" spans="2:8">
      <c r="B19" s="94" t="s">
        <v>130</v>
      </c>
    </row>
    <row r="20" spans="2:8">
      <c r="B20" s="94" t="s">
        <v>149</v>
      </c>
    </row>
    <row r="21" spans="2:8">
      <c r="B21" s="96" t="s">
        <v>86</v>
      </c>
      <c r="C21" s="206" t="s">
        <v>701</v>
      </c>
      <c r="D21" s="206" t="s">
        <v>700</v>
      </c>
      <c r="E21" s="206" t="s">
        <v>698</v>
      </c>
      <c r="F21" s="206" t="s">
        <v>716</v>
      </c>
      <c r="G21" s="206" t="s">
        <v>717</v>
      </c>
      <c r="H21" s="206" t="s">
        <v>699</v>
      </c>
    </row>
    <row r="22" spans="2:8">
      <c r="B22" s="94" t="s">
        <v>84</v>
      </c>
      <c r="C22" s="115">
        <v>0</v>
      </c>
      <c r="D22" s="115">
        <v>0</v>
      </c>
      <c r="E22" s="115">
        <v>0</v>
      </c>
      <c r="F22" s="115">
        <v>0</v>
      </c>
      <c r="G22" s="115">
        <v>0</v>
      </c>
      <c r="H22" s="115">
        <v>0</v>
      </c>
    </row>
    <row r="23" spans="2:8" ht="24">
      <c r="B23" s="89" t="s">
        <v>469</v>
      </c>
      <c r="C23" s="115">
        <v>0</v>
      </c>
      <c r="D23" s="115">
        <v>0</v>
      </c>
      <c r="E23" s="115">
        <v>0</v>
      </c>
      <c r="F23" s="115">
        <v>0</v>
      </c>
      <c r="G23" s="115">
        <v>0</v>
      </c>
      <c r="H23" s="115">
        <v>0</v>
      </c>
    </row>
    <row r="24" spans="2:8" ht="12" customHeight="1">
      <c r="B24" s="89" t="s">
        <v>468</v>
      </c>
      <c r="C24" s="115">
        <v>0</v>
      </c>
      <c r="D24" s="115">
        <v>0</v>
      </c>
      <c r="E24" s="115">
        <v>0</v>
      </c>
      <c r="F24" s="115">
        <v>0</v>
      </c>
      <c r="G24" s="115">
        <v>0</v>
      </c>
      <c r="H24" s="115">
        <v>0</v>
      </c>
    </row>
    <row r="26" spans="2:8">
      <c r="B26" s="98" t="s">
        <v>429</v>
      </c>
    </row>
    <row r="27" spans="2:8">
      <c r="B27" s="94" t="s">
        <v>87</v>
      </c>
    </row>
    <row r="28" spans="2:8">
      <c r="B28" s="90" t="s">
        <v>86</v>
      </c>
      <c r="C28" s="206" t="s">
        <v>701</v>
      </c>
      <c r="D28" s="206" t="s">
        <v>700</v>
      </c>
      <c r="E28" s="206" t="s">
        <v>698</v>
      </c>
      <c r="F28" s="206" t="s">
        <v>716</v>
      </c>
      <c r="G28" s="206" t="s">
        <v>717</v>
      </c>
      <c r="H28" s="206" t="s">
        <v>699</v>
      </c>
    </row>
    <row r="29" spans="2:8">
      <c r="B29" s="89" t="s">
        <v>88</v>
      </c>
      <c r="C29" s="116">
        <f>HLOOKUP(Comb_scrd[[#Headers],[Cisco FirePOWER 8350]],Comb_scrd[#All],238,FALSE)</f>
        <v>242390</v>
      </c>
      <c r="D29" s="116">
        <f>HLOOKUP(Comb_scrd[[#Headers],[Fortinet FortiGate-1500D]],Comb_scrd[#All],238,FALSE)</f>
        <v>24998</v>
      </c>
      <c r="E29" s="116">
        <f>HLOOKUP(Comb_scrd[[#Headers],[HP TippingPoint S7500NX]],Comb_scrd[#All],238,FALSE)</f>
        <v>201596</v>
      </c>
      <c r="F29" s="116">
        <f>HLOOKUP(Comb_scrd[[#Headers],[IBM Security Network Protection XGS 5100]],Comb_scrd[#All],238,FALSE)</f>
        <v>108158</v>
      </c>
      <c r="G29" s="116">
        <f>HLOOKUP(Comb_scrd[[#Headers],[IBM Security Network Protection XGS 7100]],Comb_scrd[#All],238,FALSE)</f>
        <v>283392</v>
      </c>
      <c r="H29" s="116">
        <f>HLOOKUP(Comb_scrd[[#Headers],[Palo Alto Networks PA-5020]],Comb_scrd[#All],238,FALSE)</f>
        <v>41500</v>
      </c>
    </row>
    <row r="30" spans="2:8">
      <c r="B30" s="89" t="s">
        <v>89</v>
      </c>
      <c r="C30" s="116">
        <f>HLOOKUP(Comb_scrd[[#Headers],[Cisco FirePOWER 8350]],Comb_scrd[#All],242,FALSE)</f>
        <v>10795</v>
      </c>
      <c r="D30" s="116">
        <f>HLOOKUP(Comb_scrd[[#Headers],[Fortinet FortiGate-1500D]],Comb_scrd[#All],242,FALSE)</f>
        <v>6998</v>
      </c>
      <c r="E30" s="116">
        <f>HLOOKUP(Comb_scrd[[#Headers],[HP TippingPoint S7500NX]],Comb_scrd[#All],242,FALSE)</f>
        <v>10496</v>
      </c>
      <c r="F30" s="116">
        <f>HLOOKUP(Comb_scrd[[#Headers],[IBM Security Network Protection XGS 5100]],Comb_scrd[#All],242,FALSE)</f>
        <v>10640</v>
      </c>
      <c r="G30" s="116">
        <f>HLOOKUP(Comb_scrd[[#Headers],[IBM Security Network Protection XGS 7100]],Comb_scrd[#All],242,FALSE)</f>
        <v>10640</v>
      </c>
      <c r="H30" s="116">
        <f>HLOOKUP(Comb_scrd[[#Headers],[Palo Alto Networks PA-5020]],Comb_scrd[#All],242,FALSE)</f>
        <v>20000</v>
      </c>
    </row>
    <row r="31" spans="2:8">
      <c r="B31" s="89" t="s">
        <v>90</v>
      </c>
      <c r="C31" s="116">
        <f>HLOOKUP(Comb_scrd[[#Headers],[Cisco FirePOWER 8350]],Comb_scrd[#All],240,FALSE)</f>
        <v>19386.666666666668</v>
      </c>
      <c r="D31" s="116">
        <f>HLOOKUP(Comb_scrd[[#Headers],[Fortinet FortiGate-1500D]],Comb_scrd[#All],240,FALSE)</f>
        <v>10469</v>
      </c>
      <c r="E31" s="116">
        <f>HLOOKUP(Comb_scrd[[#Headers],[HP TippingPoint S7500NX]],Comb_scrd[#All],240,FALSE)</f>
        <v>41159</v>
      </c>
      <c r="F31" s="116">
        <f>HLOOKUP(Comb_scrd[[#Headers],[IBM Security Network Protection XGS 5100]],Comb_scrd[#All],240,FALSE)</f>
        <v>23742</v>
      </c>
      <c r="G31" s="116">
        <f>HLOOKUP(Comb_scrd[[#Headers],[IBM Security Network Protection XGS 7100]],Comb_scrd[#All],240,FALSE)</f>
        <v>62208</v>
      </c>
      <c r="H31" s="116">
        <f>HLOOKUP(Comb_scrd[[#Headers],[Palo Alto Networks PA-5020]],Comb_scrd[#All],240,FALSE)</f>
        <v>3840</v>
      </c>
    </row>
    <row r="32" spans="2:8" ht="12.75" customHeight="1">
      <c r="B32" s="89" t="s">
        <v>91</v>
      </c>
      <c r="C32" s="116">
        <f>HLOOKUP(Comb_scrd[[#Headers],[Cisco FirePOWER 8350]],Comb_scrd[#All],243,FALSE)</f>
        <v>1799</v>
      </c>
      <c r="D32" s="116">
        <f>HLOOKUP(Comb_scrd[[#Headers],[Fortinet FortiGate-1500D]],Comb_scrd[#All],243,FALSE)</f>
        <v>1531</v>
      </c>
      <c r="E32" s="116">
        <f>HLOOKUP(Comb_scrd[[#Headers],[HP TippingPoint S7500NX]],Comb_scrd[#All],243,FALSE)</f>
        <v>2204</v>
      </c>
      <c r="F32" s="116">
        <f>HLOOKUP(Comb_scrd[[#Headers],[IBM Security Network Protection XGS 5100]],Comb_scrd[#All],243,FALSE)</f>
        <v>2660</v>
      </c>
      <c r="G32" s="116">
        <f>HLOOKUP(Comb_scrd[[#Headers],[IBM Security Network Protection XGS 7100]],Comb_scrd[#All],243,FALSE)</f>
        <v>2660</v>
      </c>
      <c r="H32" s="116">
        <f>HLOOKUP(Comb_scrd[[#Headers],[Palo Alto Networks PA-5020]],Comb_scrd[#All],243,FALSE)</f>
        <v>3299.3333333333298</v>
      </c>
    </row>
    <row r="33" spans="1:8">
      <c r="B33" s="89" t="s">
        <v>376</v>
      </c>
      <c r="C33" s="116">
        <f>HLOOKUP(Comb_scrd[[#Headers],[Cisco FirePOWER 8350]],Comb_scrd[#All],241,FALSE)</f>
        <v>0</v>
      </c>
      <c r="D33" s="116">
        <f>HLOOKUP(Comb_scrd[[#Headers],[Fortinet FortiGate-1500D]],Comb_scrd[#All],241,FALSE)</f>
        <v>0</v>
      </c>
      <c r="E33" s="116">
        <f>HLOOKUP(Comb_scrd[[#Headers],[HP TippingPoint S7500NX]],Comb_scrd[#All],241,FALSE)</f>
        <v>0</v>
      </c>
      <c r="F33" s="116">
        <f>HLOOKUP(Comb_scrd[[#Headers],[IBM Security Network Protection XGS 5100]],Comb_scrd[#All],241,FALSE)</f>
        <v>0</v>
      </c>
      <c r="G33" s="116">
        <f>HLOOKUP(Comb_scrd[[#Headers],[IBM Security Network Protection XGS 7100]],Comb_scrd[#All],241,FALSE)</f>
        <v>0</v>
      </c>
      <c r="H33" s="116">
        <f>HLOOKUP(Comb_scrd[[#Headers],[Palo Alto Networks PA-5020]],Comb_scrd[#All],241,FALSE)</f>
        <v>6400</v>
      </c>
    </row>
    <row r="35" spans="1:8">
      <c r="H35" s="389"/>
    </row>
    <row r="36" spans="1:8">
      <c r="A36" s="17" t="s">
        <v>430</v>
      </c>
      <c r="B36" s="99" t="s">
        <v>501</v>
      </c>
    </row>
    <row r="37" spans="1:8">
      <c r="A37" s="100" t="s">
        <v>1</v>
      </c>
      <c r="B37" s="101" t="s">
        <v>502</v>
      </c>
      <c r="C37" s="206" t="s">
        <v>701</v>
      </c>
      <c r="D37" s="206" t="s">
        <v>700</v>
      </c>
      <c r="E37" s="206" t="s">
        <v>698</v>
      </c>
      <c r="F37" s="206" t="s">
        <v>716</v>
      </c>
      <c r="G37" s="206" t="s">
        <v>717</v>
      </c>
      <c r="H37" s="206" t="s">
        <v>699</v>
      </c>
    </row>
    <row r="38" spans="1:8">
      <c r="A38" s="107" t="s">
        <v>486</v>
      </c>
      <c r="B38" s="107"/>
      <c r="C38" s="103">
        <f>1-SUM(C39:C46,C48:C52)</f>
        <v>1</v>
      </c>
      <c r="D38" s="103">
        <f t="shared" ref="D38:H38" si="1">1-SUM(D39:D46,D48:D52)</f>
        <v>1</v>
      </c>
      <c r="E38" s="103">
        <f t="shared" si="1"/>
        <v>1</v>
      </c>
      <c r="F38" s="103">
        <f t="shared" si="1"/>
        <v>1</v>
      </c>
      <c r="G38" s="103">
        <f t="shared" si="1"/>
        <v>1</v>
      </c>
      <c r="H38" s="103">
        <f t="shared" si="1"/>
        <v>1</v>
      </c>
    </row>
    <row r="39" spans="1:8">
      <c r="A39" s="104" t="s">
        <v>185</v>
      </c>
      <c r="B39" s="105">
        <v>0.25</v>
      </c>
      <c r="C39" s="108">
        <f>IF(HLOOKUP(Comb_scrd[[#Headers],[Cisco FirePOWER 8350]],Comb_scrd[#All],28,FALSE)&lt;1,$B$39,0)</f>
        <v>0</v>
      </c>
      <c r="D39" s="108">
        <f>IF(HLOOKUP(Comb_scrd[[#Headers],[Fortinet FortiGate-1500D]],Comb_scrd[#All],28,FALSE)&lt;1,$B$39,0)</f>
        <v>0</v>
      </c>
      <c r="E39" s="108">
        <f>IF(HLOOKUP(Comb_scrd[[#Headers],[HP TippingPoint S7500NX]],Comb_scrd[#All],28,FALSE)&lt;1,$B$39,0)</f>
        <v>0</v>
      </c>
      <c r="F39" s="108">
        <f>IF(HLOOKUP(Comb_scrd[[#Headers],[IBM Security Network Protection XGS 5100]],Comb_scrd[#All],28,FALSE)&lt;1,$B$39,0)</f>
        <v>0</v>
      </c>
      <c r="G39" s="108">
        <f>IF(HLOOKUP(Comb_scrd[[#Headers],[IBM Security Network Protection XGS 7100]],Comb_scrd[#All],28,FALSE)&lt;1,$B$39,0)</f>
        <v>0</v>
      </c>
      <c r="H39" s="108">
        <f>IF(HLOOKUP(Comb_scrd[[#Headers],[Palo Alto Networks PA-5020]],Comb_scrd[#All],28,FALSE)&lt;1,$B$39,0)</f>
        <v>0</v>
      </c>
    </row>
    <row r="40" spans="1:8">
      <c r="A40" s="104" t="s">
        <v>186</v>
      </c>
      <c r="B40" s="105">
        <v>0.25</v>
      </c>
      <c r="C40" s="108">
        <f>IF(HLOOKUP(Comb_scrd[[#Headers],[Cisco FirePOWER 8350]],Comb_scrd[#All],44,FALSE)&lt;1,$B$40,0)</f>
        <v>0</v>
      </c>
      <c r="D40" s="108">
        <f>IF(HLOOKUP(Comb_scrd[[#Headers],[Fortinet FortiGate-1500D]],Comb_scrd[#All],44,FALSE)&lt;1,$B$40,0)</f>
        <v>0</v>
      </c>
      <c r="E40" s="108">
        <f>IF(HLOOKUP(Comb_scrd[[#Headers],[HP TippingPoint S7500NX]],Comb_scrd[#All],44,FALSE)&lt;1,$B$40,0)</f>
        <v>0</v>
      </c>
      <c r="F40" s="108">
        <f>IF(HLOOKUP(Comb_scrd[[#Headers],[IBM Security Network Protection XGS 5100]],Comb_scrd[#All],44,FALSE)&lt;1,$B$40,0)</f>
        <v>0</v>
      </c>
      <c r="G40" s="108">
        <f>IF(HLOOKUP(Comb_scrd[[#Headers],[IBM Security Network Protection XGS 7100]],Comb_scrd[#All],44,FALSE)&lt;1,$B$40,0)</f>
        <v>0</v>
      </c>
      <c r="H40" s="108">
        <f>IF(HLOOKUP(Comb_scrd[[#Headers],[Palo Alto Networks PA-5020]],Comb_scrd[#All],44,FALSE)&lt;1,$B$40,0)</f>
        <v>0</v>
      </c>
    </row>
    <row r="41" spans="1:8">
      <c r="A41" s="104" t="s">
        <v>187</v>
      </c>
      <c r="B41" s="105">
        <v>0.1</v>
      </c>
      <c r="C41" s="109">
        <f>IF(HLOOKUP(Comb_scrd[[#Headers],[Cisco FirePOWER 8350]],Comb_scrd[#All],69,FALSE)&lt;1,$B$41,0)</f>
        <v>0</v>
      </c>
      <c r="D41" s="109">
        <f>IF(HLOOKUP(Comb_scrd[[#Headers],[Fortinet FortiGate-1500D]],Comb_scrd[#All],69,FALSE)&lt;1,$B$41,0)</f>
        <v>0</v>
      </c>
      <c r="E41" s="109">
        <f>IF(HLOOKUP(Comb_scrd[[#Headers],[HP TippingPoint S7500NX]],Comb_scrd[#All],69,FALSE)&lt;1,$B$41,0)</f>
        <v>0</v>
      </c>
      <c r="F41" s="109">
        <f>IF(HLOOKUP(Comb_scrd[[#Headers],[IBM Security Network Protection XGS 5100]],Comb_scrd[#All],69,FALSE)&lt;1,$B$41,0)</f>
        <v>0</v>
      </c>
      <c r="G41" s="109">
        <f>IF(HLOOKUP(Comb_scrd[[#Headers],[IBM Security Network Protection XGS 7100]],Comb_scrd[#All],69,FALSE)&lt;1,$B$41,0)</f>
        <v>0</v>
      </c>
      <c r="H41" s="109">
        <f>IF(HLOOKUP(Comb_scrd[[#Headers],[Palo Alto Networks PA-5020]],Comb_scrd[#All],69,FALSE)&lt;1,$B$41,0)</f>
        <v>0</v>
      </c>
    </row>
    <row r="42" spans="1:8">
      <c r="A42" s="104" t="s">
        <v>188</v>
      </c>
      <c r="B42" s="105">
        <v>0.05</v>
      </c>
      <c r="C42" s="109">
        <f>IF(HLOOKUP(Comb_scrd[[#Headers],[Cisco FirePOWER 8350]],Comb_scrd[#All],93,FALSE)&lt;1,$B$42,0)</f>
        <v>0</v>
      </c>
      <c r="D42" s="109">
        <f>IF(HLOOKUP(Comb_scrd[[#Headers],[Fortinet FortiGate-1500D]],Comb_scrd[#All],93,FALSE)&lt;1,$B$42,0)</f>
        <v>0</v>
      </c>
      <c r="E42" s="109">
        <f>IF(HLOOKUP(Comb_scrd[[#Headers],[HP TippingPoint S7500NX]],Comb_scrd[#All],93,FALSE)&lt;1,$B$42,0)</f>
        <v>0</v>
      </c>
      <c r="F42" s="109">
        <f>IF(HLOOKUP(Comb_scrd[[#Headers],[IBM Security Network Protection XGS 5100]],Comb_scrd[#All],93,FALSE)&lt;1,$B$42,0)</f>
        <v>0</v>
      </c>
      <c r="G42" s="109">
        <f>IF(HLOOKUP(Comb_scrd[[#Headers],[IBM Security Network Protection XGS 7100]],Comb_scrd[#All],93,FALSE)&lt;1,$B$42,0)</f>
        <v>0</v>
      </c>
      <c r="H42" s="109">
        <f>IF(HLOOKUP(Comb_scrd[[#Headers],[Palo Alto Networks PA-5020]],Comb_scrd[#All],93,FALSE)&lt;1,$B$42,0)</f>
        <v>0</v>
      </c>
    </row>
    <row r="43" spans="1:8">
      <c r="A43" s="104" t="s">
        <v>189</v>
      </c>
      <c r="B43" s="105">
        <v>0.15</v>
      </c>
      <c r="C43" s="109">
        <f>IF(HLOOKUP(Comb_scrd[[#Headers],[Cisco FirePOWER 8350]],Comb_scrd[#All],97,FALSE)&lt;1,$B$43,0)</f>
        <v>0</v>
      </c>
      <c r="D43" s="109">
        <f>IF(HLOOKUP(Comb_scrd[[#Headers],[Fortinet FortiGate-1500D]],Comb_scrd[#All],97,FALSE)&lt;1,$B$43,0)</f>
        <v>0</v>
      </c>
      <c r="E43" s="109">
        <f>IF(HLOOKUP(Comb_scrd[[#Headers],[HP TippingPoint S7500NX]],Comb_scrd[#All],97,FALSE)&lt;1,$B$43,0)</f>
        <v>0</v>
      </c>
      <c r="F43" s="109">
        <f>IF(HLOOKUP(Comb_scrd[[#Headers],[IBM Security Network Protection XGS 5100]],Comb_scrd[#All],97,FALSE)&lt;1,$B$43,0)</f>
        <v>0</v>
      </c>
      <c r="G43" s="109">
        <f>IF(HLOOKUP(Comb_scrd[[#Headers],[IBM Security Network Protection XGS 7100]],Comb_scrd[#All],97,FALSE)&lt;1,$B$43,0)</f>
        <v>0</v>
      </c>
      <c r="H43" s="109">
        <f>IF(HLOOKUP(Comb_scrd[[#Headers],[Palo Alto Networks PA-5020]],Comb_scrd[#All],97,FALSE)&lt;1,$B$43,0)</f>
        <v>0</v>
      </c>
    </row>
    <row r="44" spans="1:8">
      <c r="A44" s="104" t="s">
        <v>190</v>
      </c>
      <c r="B44" s="105">
        <v>0.15</v>
      </c>
      <c r="C44" s="109">
        <f>IF(HLOOKUP(Comb_scrd[[#Headers],[Cisco FirePOWER 8350]],Comb_scrd[#All],114,FALSE)&lt;1,$B$44,0)</f>
        <v>0</v>
      </c>
      <c r="D44" s="109">
        <f>IF(HLOOKUP(Comb_scrd[[#Headers],[Fortinet FortiGate-1500D]],Comb_scrd[#All],114,FALSE)&lt;1,$B$44,0)</f>
        <v>0</v>
      </c>
      <c r="E44" s="109">
        <f>IF(HLOOKUP(Comb_scrd[[#Headers],[HP TippingPoint S7500NX]],Comb_scrd[#All],114,FALSE)&lt;1,$B$44,0)</f>
        <v>0</v>
      </c>
      <c r="F44" s="109">
        <f>IF(HLOOKUP(Comb_scrd[[#Headers],[IBM Security Network Protection XGS 5100]],Comb_scrd[#All],114,FALSE)&lt;1,$B$44,0)</f>
        <v>0</v>
      </c>
      <c r="G44" s="109">
        <f>IF(HLOOKUP(Comb_scrd[[#Headers],[IBM Security Network Protection XGS 7100]],Comb_scrd[#All],114,FALSE)&lt;1,$B$44,0)</f>
        <v>0</v>
      </c>
      <c r="H44" s="109">
        <f>IF(HLOOKUP(Comb_scrd[[#Headers],[Palo Alto Networks PA-5020]],Comb_scrd[#All],114,FALSE)&lt;1,$B$44,0)</f>
        <v>0</v>
      </c>
    </row>
    <row r="45" spans="1:8">
      <c r="A45" s="104" t="s">
        <v>191</v>
      </c>
      <c r="B45" s="105">
        <v>0.1</v>
      </c>
      <c r="C45" s="109">
        <f>IF(HLOOKUP(Comb_scrd[[#Headers],[Cisco FirePOWER 8350]],Comb_scrd[#All],130,FALSE)&lt;1,$B$45,0)</f>
        <v>0</v>
      </c>
      <c r="D45" s="109">
        <f>IF(HLOOKUP(Comb_scrd[[#Headers],[Fortinet FortiGate-1500D]],Comb_scrd[#All],130,FALSE)&lt;1,$B$45,0)</f>
        <v>0</v>
      </c>
      <c r="E45" s="109">
        <f>IF(HLOOKUP(Comb_scrd[[#Headers],[HP TippingPoint S7500NX]],Comb_scrd[#All],130,FALSE)&lt;1,$B$45,0)</f>
        <v>0</v>
      </c>
      <c r="F45" s="109">
        <f>IF(HLOOKUP(Comb_scrd[[#Headers],[IBM Security Network Protection XGS 5100]],Comb_scrd[#All],130,FALSE)&lt;1,$B$45,0)</f>
        <v>0</v>
      </c>
      <c r="G45" s="109">
        <f>IF(HLOOKUP(Comb_scrd[[#Headers],[IBM Security Network Protection XGS 7100]],Comb_scrd[#All],130,FALSE)&lt;1,$B$45,0)</f>
        <v>0</v>
      </c>
      <c r="H45" s="109">
        <f>IF(HLOOKUP(Comb_scrd[[#Headers],[Palo Alto Networks PA-5020]],Comb_scrd[#All],130,FALSE)&lt;1,$B$45,0)</f>
        <v>0</v>
      </c>
    </row>
    <row r="46" spans="1:8">
      <c r="A46" s="104" t="s">
        <v>192</v>
      </c>
      <c r="B46" s="105">
        <v>0.1</v>
      </c>
      <c r="C46" s="109">
        <f>IF(HLOOKUP(Comb_scrd[[#Headers],[Cisco FirePOWER 8350]],Comb_scrd[#All],135,FALSE)&lt;1,$B$46,0)</f>
        <v>0</v>
      </c>
      <c r="D46" s="109">
        <f>IF(HLOOKUP(Comb_scrd[[#Headers],[Fortinet FortiGate-1500D]],Comb_scrd[#All],135,FALSE)&lt;1,$B$46,0)</f>
        <v>0</v>
      </c>
      <c r="E46" s="109">
        <f>IF(HLOOKUP(Comb_scrd[[#Headers],[HP TippingPoint S7500NX]],Comb_scrd[#All],135,FALSE)&lt;1,$B$46,0)</f>
        <v>0</v>
      </c>
      <c r="F46" s="109">
        <f>IF(HLOOKUP(Comb_scrd[[#Headers],[IBM Security Network Protection XGS 5100]],Comb_scrd[#All],135,FALSE)&lt;1,$B$46,0)</f>
        <v>0</v>
      </c>
      <c r="G46" s="109">
        <f>IF(HLOOKUP(Comb_scrd[[#Headers],[IBM Security Network Protection XGS 7100]],Comb_scrd[#All],135,FALSE)&lt;1,$B$46,0)</f>
        <v>0</v>
      </c>
      <c r="H46" s="109">
        <f>IF(HLOOKUP(Comb_scrd[[#Headers],[Palo Alto Networks PA-5020]],Comb_scrd[#All],135,FALSE)&lt;1,$B$46,0)</f>
        <v>0</v>
      </c>
    </row>
    <row r="47" spans="1:8">
      <c r="A47" s="110" t="s">
        <v>328</v>
      </c>
      <c r="B47" s="110"/>
      <c r="C47" s="103">
        <f>1-SUM(C48:C52)</f>
        <v>1</v>
      </c>
      <c r="D47" s="103">
        <f t="shared" ref="D47:H47" si="2">1-SUM(D48:D52)</f>
        <v>1</v>
      </c>
      <c r="E47" s="103">
        <f t="shared" si="2"/>
        <v>1</v>
      </c>
      <c r="F47" s="103">
        <f t="shared" si="2"/>
        <v>1</v>
      </c>
      <c r="G47" s="103">
        <f t="shared" si="2"/>
        <v>1</v>
      </c>
      <c r="H47" s="103">
        <f t="shared" si="2"/>
        <v>1</v>
      </c>
    </row>
    <row r="48" spans="1:8">
      <c r="A48" s="104" t="s">
        <v>193</v>
      </c>
      <c r="B48" s="105">
        <v>0.25</v>
      </c>
      <c r="C48" s="109">
        <f>IF(HLOOKUP(Comb_scrd[[#Headers],[Cisco FirePOWER 8350]],Comb_scrd[#All],146,FALSE)&lt;1,$B$48,0)</f>
        <v>0</v>
      </c>
      <c r="D48" s="109">
        <f>IF(HLOOKUP(Comb_scrd[[#Headers],[Fortinet FortiGate-1500D]],Comb_scrd[#All],146,FALSE)&lt;1,$B$48,0)</f>
        <v>0</v>
      </c>
      <c r="E48" s="109">
        <f>IF(HLOOKUP(Comb_scrd[[#Headers],[HP TippingPoint S7500NX]],Comb_scrd[#All],146,FALSE)&lt;1,$B$48,0)</f>
        <v>0</v>
      </c>
      <c r="F48" s="109">
        <f>IF(HLOOKUP(Comb_scrd[[#Headers],[IBM Security Network Protection XGS 5100]],Comb_scrd[#All],146,FALSE)&lt;1,$B$48,0)</f>
        <v>0</v>
      </c>
      <c r="G48" s="109">
        <f>IF(HLOOKUP(Comb_scrd[[#Headers],[IBM Security Network Protection XGS 7100]],Comb_scrd[#All],146,FALSE)&lt;1,$B$48,0)</f>
        <v>0</v>
      </c>
      <c r="H48" s="109">
        <f>IF(HLOOKUP(Comb_scrd[[#Headers],[Palo Alto Networks PA-5020]],Comb_scrd[#All],146,FALSE)&lt;1,$B$48,0)</f>
        <v>0</v>
      </c>
    </row>
    <row r="49" spans="1:92">
      <c r="A49" s="104" t="s">
        <v>194</v>
      </c>
      <c r="B49" s="105">
        <v>0.1</v>
      </c>
      <c r="C49" s="109">
        <f>IF(HLOOKUP(Comb_scrd[[#Headers],[Cisco FirePOWER 8350]],Comb_scrd[#All],161,FALSE)&lt;1,$B$49,0)</f>
        <v>0</v>
      </c>
      <c r="D49" s="109">
        <f>IF(HLOOKUP(Comb_scrd[[#Headers],[Fortinet FortiGate-1500D]],Comb_scrd[#All],161,FALSE)&lt;1,$B$49,0)</f>
        <v>0</v>
      </c>
      <c r="E49" s="109">
        <f>IF(HLOOKUP(Comb_scrd[[#Headers],[HP TippingPoint S7500NX]],Comb_scrd[#All],161,FALSE)&lt;1,$B$49,0)</f>
        <v>0</v>
      </c>
      <c r="F49" s="109">
        <f>IF(HLOOKUP(Comb_scrd[[#Headers],[IBM Security Network Protection XGS 5100]],Comb_scrd[#All],161,FALSE)&lt;1,$B$49,0)</f>
        <v>0</v>
      </c>
      <c r="G49" s="109">
        <f>IF(HLOOKUP(Comb_scrd[[#Headers],[IBM Security Network Protection XGS 7100]],Comb_scrd[#All],161,FALSE)&lt;1,$B$49,0)</f>
        <v>0</v>
      </c>
      <c r="H49" s="109">
        <f>IF(HLOOKUP(Comb_scrd[[#Headers],[Palo Alto Networks PA-5020]],Comb_scrd[#All],161,FALSE)&lt;1,$B$49,0)</f>
        <v>0</v>
      </c>
    </row>
    <row r="50" spans="1:92">
      <c r="A50" s="104" t="s">
        <v>195</v>
      </c>
      <c r="B50" s="105">
        <v>0.05</v>
      </c>
      <c r="C50" s="109">
        <f>IF(HLOOKUP(Comb_scrd[[#Headers],[Cisco FirePOWER 8350]],Comb_scrd[#All],170,FALSE)&lt;1,$B$50,0)</f>
        <v>0</v>
      </c>
      <c r="D50" s="109">
        <f>IF(HLOOKUP(Comb_scrd[[#Headers],[Fortinet FortiGate-1500D]],Comb_scrd[#All],170,FALSE)&lt;1,$B$50,0)</f>
        <v>0</v>
      </c>
      <c r="E50" s="109">
        <f>IF(HLOOKUP(Comb_scrd[[#Headers],[HP TippingPoint S7500NX]],Comb_scrd[#All],170,FALSE)&lt;1,$B$50,0)</f>
        <v>0</v>
      </c>
      <c r="F50" s="109">
        <f>IF(HLOOKUP(Comb_scrd[[#Headers],[IBM Security Network Protection XGS 5100]],Comb_scrd[#All],170,FALSE)&lt;1,$B$50,0)</f>
        <v>0</v>
      </c>
      <c r="G50" s="109">
        <f>IF(HLOOKUP(Comb_scrd[[#Headers],[IBM Security Network Protection XGS 7100]],Comb_scrd[#All],170,FALSE)&lt;1,$B$50,0)</f>
        <v>0</v>
      </c>
      <c r="H50" s="109">
        <f>IF(HLOOKUP(Comb_scrd[[#Headers],[Palo Alto Networks PA-5020]],Comb_scrd[#All],170,FALSE)&lt;1,$B$50,0)</f>
        <v>0</v>
      </c>
    </row>
    <row r="51" spans="1:92">
      <c r="A51" s="104" t="s">
        <v>196</v>
      </c>
      <c r="B51" s="105">
        <v>0.05</v>
      </c>
      <c r="C51" s="109">
        <f>IF(HLOOKUP(Comb_scrd[[#Headers],[Cisco FirePOWER 8350]],Comb_scrd[#All],174,FALSE)&lt;1,$B$51,0)</f>
        <v>0</v>
      </c>
      <c r="D51" s="109">
        <f>IF(HLOOKUP(Comb_scrd[[#Headers],[Fortinet FortiGate-1500D]],Comb_scrd[#All],174,FALSE)&lt;1,$B$51,0)</f>
        <v>0</v>
      </c>
      <c r="E51" s="109">
        <f>IF(HLOOKUP(Comb_scrd[[#Headers],[HP TippingPoint S7500NX]],Comb_scrd[#All],174,FALSE)&lt;1,$B$51,0)</f>
        <v>0</v>
      </c>
      <c r="F51" s="109">
        <f>IF(HLOOKUP(Comb_scrd[[#Headers],[IBM Security Network Protection XGS 5100]],Comb_scrd[#All],174,FALSE)&lt;1,$B$51,0)</f>
        <v>0</v>
      </c>
      <c r="G51" s="109">
        <f>IF(HLOOKUP(Comb_scrd[[#Headers],[IBM Security Network Protection XGS 7100]],Comb_scrd[#All],174,FALSE)&lt;1,$B$51,0)</f>
        <v>0</v>
      </c>
      <c r="H51" s="109">
        <f>IF(HLOOKUP(Comb_scrd[[#Headers],[Palo Alto Networks PA-5020]],Comb_scrd[#All],174,FALSE)&lt;1,$B$51,0)</f>
        <v>0</v>
      </c>
    </row>
    <row r="52" spans="1:92">
      <c r="A52" s="104" t="s">
        <v>133</v>
      </c>
      <c r="B52" s="105">
        <v>0.3</v>
      </c>
      <c r="C52" s="109">
        <f>IF(HLOOKUP(Comb_scrd[[#Headers],[Cisco FirePOWER 8350]],Comb_scrd[#All],176,FALSE)&lt;1,$B$52,0)</f>
        <v>0</v>
      </c>
      <c r="D52" s="109">
        <f>IF(HLOOKUP(Comb_scrd[[#Headers],[Fortinet FortiGate-1500D]],Comb_scrd[#All],176,FALSE)&lt;1,$B$52,0)</f>
        <v>0</v>
      </c>
      <c r="E52" s="109">
        <f>IF(HLOOKUP(Comb_scrd[[#Headers],[HP TippingPoint S7500NX]],Comb_scrd[#All],176,FALSE)&lt;1,$B$52,0)</f>
        <v>0</v>
      </c>
      <c r="F52" s="109">
        <f>IF(HLOOKUP(Comb_scrd[[#Headers],[IBM Security Network Protection XGS 5100]],Comb_scrd[#All],176,FALSE)&lt;1,$B$52,0)</f>
        <v>0</v>
      </c>
      <c r="G52" s="109">
        <f>IF(HLOOKUP(Comb_scrd[[#Headers],[IBM Security Network Protection XGS 7100]],Comb_scrd[#All],176,FALSE)&lt;1,$B$52,0)</f>
        <v>0</v>
      </c>
      <c r="H52" s="109">
        <f>IF(HLOOKUP(Comb_scrd[[#Headers],[Palo Alto Networks PA-5020]],Comb_scrd[#All],176,FALSE)&lt;1,$B$52,0)</f>
        <v>0</v>
      </c>
    </row>
    <row r="53" spans="1:92" s="18" customFormat="1">
      <c r="A53" s="107" t="s">
        <v>46</v>
      </c>
      <c r="B53" s="102"/>
      <c r="C53" s="103">
        <f>1-SUM(C54:C55,C57:C65)</f>
        <v>1</v>
      </c>
      <c r="D53" s="103">
        <f t="shared" ref="D53:H53" si="3">1-SUM(D54:D55,D57:D65)</f>
        <v>1</v>
      </c>
      <c r="E53" s="103">
        <f t="shared" si="3"/>
        <v>1</v>
      </c>
      <c r="F53" s="103">
        <f t="shared" si="3"/>
        <v>1</v>
      </c>
      <c r="G53" s="103">
        <f t="shared" si="3"/>
        <v>1</v>
      </c>
      <c r="H53" s="103">
        <f t="shared" si="3"/>
        <v>1</v>
      </c>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row>
    <row r="54" spans="1:92">
      <c r="A54" s="104" t="s">
        <v>47</v>
      </c>
      <c r="B54" s="105">
        <v>1</v>
      </c>
      <c r="C54" s="106">
        <f>(CHOOSE(MATCH(HLOOKUP(Comb_scrd[[#Headers],[Cisco FirePOWER 8350]],Comb_scrd[#All],220,FALSE),{"FAIL";"PASS"},0),1,0))*$B$54</f>
        <v>0</v>
      </c>
      <c r="D54" s="106">
        <f>(CHOOSE(MATCH(HLOOKUP(Comb_scrd[[#Headers],[Fortinet FortiGate-1500D]],Comb_scrd[#All],220,FALSE),{"FAIL";"PASS"},0),1,0))*$B$54</f>
        <v>0</v>
      </c>
      <c r="E54" s="106">
        <f>(CHOOSE(MATCH(HLOOKUP(Comb_scrd[[#Headers],[HP TippingPoint S7500NX]],Comb_scrd[#All],220,FALSE),{"FAIL";"PASS"},0),1,0))*$B$54</f>
        <v>0</v>
      </c>
      <c r="F54" s="106">
        <f>(CHOOSE(MATCH(HLOOKUP(Comb_scrd[[#Headers],[IBM Security Network Protection XGS 5100]],Comb_scrd[#All],220,FALSE),{"FAIL";"PASS"},0),1,0))*$B$54</f>
        <v>0</v>
      </c>
      <c r="G54" s="106">
        <f>(CHOOSE(MATCH(HLOOKUP(Comb_scrd[[#Headers],[IBM Security Network Protection XGS 7100]],Comb_scrd[#All],220,FALSE),{"FAIL";"PASS"},0),1,0))*$B$54</f>
        <v>0</v>
      </c>
      <c r="H54" s="106">
        <f>(CHOOSE(MATCH(HLOOKUP(Comb_scrd[[#Headers],[Palo Alto Networks PA-5020]],Comb_scrd[#All],220,FALSE),{"FAIL";"PASS"},0),1,0))*$B$54</f>
        <v>0</v>
      </c>
    </row>
    <row r="55" spans="1:92">
      <c r="A55" s="104" t="s">
        <v>48</v>
      </c>
      <c r="B55" s="105">
        <v>0.2</v>
      </c>
      <c r="C55" s="106">
        <f>(CHOOSE(MATCH(HLOOKUP(Comb_scrd[[#Headers],[Cisco FirePOWER 8350]],Comb_scrd[#All],221,FALSE),{"FAIL";"PASS"},0),1,0))*$B$55</f>
        <v>0</v>
      </c>
      <c r="D55" s="106">
        <f>(CHOOSE(MATCH(HLOOKUP(Comb_scrd[[#Headers],[Fortinet FortiGate-1500D]],Comb_scrd[#All],221,FALSE),{"FAIL";"PASS"},0),1,0))*$B$55</f>
        <v>0</v>
      </c>
      <c r="E55" s="106">
        <f>(CHOOSE(MATCH(HLOOKUP(Comb_scrd[[#Headers],[HP TippingPoint S7500NX]],Comb_scrd[#All],221,FALSE),{"FAIL";"PASS"},0),1,0))*$B$55</f>
        <v>0</v>
      </c>
      <c r="F55" s="106">
        <f>(CHOOSE(MATCH(HLOOKUP(Comb_scrd[[#Headers],[IBM Security Network Protection XGS 5100]],Comb_scrd[#All],221,FALSE),{"FAIL";"PASS"},0),1,0))*$B$55</f>
        <v>0</v>
      </c>
      <c r="G55" s="106">
        <f>(CHOOSE(MATCH(HLOOKUP(Comb_scrd[[#Headers],[IBM Security Network Protection XGS 7100]],Comb_scrd[#All],221,FALSE),{"FAIL";"PASS"},0),1,0))*$B$55</f>
        <v>0</v>
      </c>
      <c r="H55" s="106">
        <f>(CHOOSE(MATCH(HLOOKUP(Comb_scrd[[#Headers],[Palo Alto Networks PA-5020]],Comb_scrd[#All],221,FALSE),{"FAIL";"PASS"},0),1,0))*$B$55</f>
        <v>0</v>
      </c>
    </row>
    <row r="56" spans="1:92">
      <c r="A56" s="107" t="s">
        <v>362</v>
      </c>
      <c r="B56" s="107"/>
      <c r="C56" s="103">
        <f>1-SUM(C57:C65)</f>
        <v>1</v>
      </c>
      <c r="D56" s="103">
        <f t="shared" ref="D56:H56" si="4">1-SUM(D57:D65)</f>
        <v>1</v>
      </c>
      <c r="E56" s="103">
        <f t="shared" si="4"/>
        <v>1</v>
      </c>
      <c r="F56" s="103">
        <f t="shared" si="4"/>
        <v>1</v>
      </c>
      <c r="G56" s="103">
        <f t="shared" si="4"/>
        <v>1</v>
      </c>
      <c r="H56" s="103">
        <f t="shared" si="4"/>
        <v>1</v>
      </c>
    </row>
    <row r="57" spans="1:92">
      <c r="A57" s="104" t="s">
        <v>364</v>
      </c>
      <c r="B57" s="105">
        <v>1</v>
      </c>
      <c r="C57" s="106">
        <f>(CHOOSE(MATCH(HLOOKUP(Comb_scrd[[#Headers],[Cisco FirePOWER 8350]],Comb_scrd[#All],223,FALSE),{"FAIL";"PASS"},0),1,0))*$B$57</f>
        <v>0</v>
      </c>
      <c r="D57" s="106">
        <f>(CHOOSE(MATCH(HLOOKUP(Comb_scrd[[#Headers],[Fortinet FortiGate-1500D]],Comb_scrd[#All],223,FALSE),{"FAIL";"PASS"},0),1,0))*$B$57</f>
        <v>0</v>
      </c>
      <c r="E57" s="106">
        <f>(CHOOSE(MATCH(HLOOKUP(Comb_scrd[[#Headers],[HP TippingPoint S7500NX]],Comb_scrd[#All],223,FALSE),{"FAIL";"PASS"},0),1,0))*$B$57</f>
        <v>0</v>
      </c>
      <c r="F57" s="106">
        <f>(CHOOSE(MATCH(HLOOKUP(Comb_scrd[[#Headers],[IBM Security Network Protection XGS 5100]],Comb_scrd[#All],223,FALSE),{"FAIL";"PASS"},0),1,0))*$B$57</f>
        <v>0</v>
      </c>
      <c r="G57" s="106">
        <f>(CHOOSE(MATCH(HLOOKUP(Comb_scrd[[#Headers],[IBM Security Network Protection XGS 7100]],Comb_scrd[#All],223,FALSE),{"FAIL";"PASS"},0),1,0))*$B$57</f>
        <v>0</v>
      </c>
      <c r="H57" s="106">
        <f>(CHOOSE(MATCH(HLOOKUP(Comb_scrd[[#Headers],[Palo Alto Networks PA-5020]],Comb_scrd[#All],223,FALSE),{"FAIL";"PASS"},0),1,0))*$B$57</f>
        <v>0</v>
      </c>
    </row>
    <row r="58" spans="1:92">
      <c r="A58" s="104" t="s">
        <v>366</v>
      </c>
      <c r="B58" s="105">
        <v>1</v>
      </c>
      <c r="C58" s="106">
        <f>(CHOOSE(MATCH(HLOOKUP(Comb_scrd[[#Headers],[Cisco FirePOWER 8350]],Comb_scrd[#All],224,FALSE),{"FAIL";"PASS"},0),1,0))*$B$58</f>
        <v>0</v>
      </c>
      <c r="D58" s="106">
        <f>(CHOOSE(MATCH(HLOOKUP(Comb_scrd[[#Headers],[Fortinet FortiGate-1500D]],Comb_scrd[#All],224,FALSE),{"FAIL";"PASS"},0),1,0))*$B$58</f>
        <v>0</v>
      </c>
      <c r="E58" s="106">
        <f>(CHOOSE(MATCH(HLOOKUP(Comb_scrd[[#Headers],[HP TippingPoint S7500NX]],Comb_scrd[#All],224,FALSE),{"FAIL";"PASS"},0),1,0))*$B$58</f>
        <v>0</v>
      </c>
      <c r="F58" s="106">
        <f>(CHOOSE(MATCH(HLOOKUP(Comb_scrd[[#Headers],[IBM Security Network Protection XGS 5100]],Comb_scrd[#All],224,FALSE),{"FAIL";"PASS"},0),1,0))*$B$58</f>
        <v>0</v>
      </c>
      <c r="G58" s="106">
        <f>(CHOOSE(MATCH(HLOOKUP(Comb_scrd[[#Headers],[IBM Security Network Protection XGS 7100]],Comb_scrd[#All],224,FALSE),{"FAIL";"PASS"},0),1,0))*$B$58</f>
        <v>0</v>
      </c>
      <c r="H58" s="106">
        <f>(CHOOSE(MATCH(HLOOKUP(Comb_scrd[[#Headers],[Palo Alto Networks PA-5020]],Comb_scrd[#All],224,FALSE),{"FAIL";"PASS"},0),1,0))*$B$58</f>
        <v>0</v>
      </c>
    </row>
    <row r="59" spans="1:92">
      <c r="A59" s="104" t="s">
        <v>368</v>
      </c>
      <c r="B59" s="105">
        <v>1</v>
      </c>
      <c r="C59" s="106">
        <f>(CHOOSE(MATCH(HLOOKUP(Comb_scrd[[#Headers],[Cisco FirePOWER 8350]],Comb_scrd[#All],225,FALSE),{"FAIL";"PASS"},0),1,0))*$B$59</f>
        <v>0</v>
      </c>
      <c r="D59" s="106">
        <f>(CHOOSE(MATCH(HLOOKUP(Comb_scrd[[#Headers],[Fortinet FortiGate-1500D]],Comb_scrd[#All],225,FALSE),{"FAIL";"PASS"},0),1,0))*$B$59</f>
        <v>0</v>
      </c>
      <c r="E59" s="106">
        <f>(CHOOSE(MATCH(HLOOKUP(Comb_scrd[[#Headers],[HP TippingPoint S7500NX]],Comb_scrd[#All],225,FALSE),{"FAIL";"PASS"},0),1,0))*$B$59</f>
        <v>0</v>
      </c>
      <c r="F59" s="106">
        <f>(CHOOSE(MATCH(HLOOKUP(Comb_scrd[[#Headers],[IBM Security Network Protection XGS 5100]],Comb_scrd[#All],225,FALSE),{"FAIL";"PASS"},0),1,0))*$B$59</f>
        <v>0</v>
      </c>
      <c r="G59" s="106">
        <f>(CHOOSE(MATCH(HLOOKUP(Comb_scrd[[#Headers],[IBM Security Network Protection XGS 7100]],Comb_scrd[#All],225,FALSE),{"FAIL";"PASS"},0),1,0))*$B$59</f>
        <v>0</v>
      </c>
      <c r="H59" s="106">
        <f>(CHOOSE(MATCH(HLOOKUP(Comb_scrd[[#Headers],[Palo Alto Networks PA-5020]],Comb_scrd[#All],225,FALSE),{"FAIL";"PASS"},0),1,0))*$B$59</f>
        <v>0</v>
      </c>
    </row>
    <row r="60" spans="1:92">
      <c r="A60" s="104" t="s">
        <v>370</v>
      </c>
      <c r="B60" s="105">
        <v>1</v>
      </c>
      <c r="C60" s="106">
        <f>(CHOOSE(MATCH(HLOOKUP(Comb_scrd[[#Headers],[Cisco FirePOWER 8350]],Comb_scrd[#All],226,FALSE),{"FAIL";"PASS"},0),1,0))*$B$60</f>
        <v>0</v>
      </c>
      <c r="D60" s="106">
        <f>(CHOOSE(MATCH(HLOOKUP(Comb_scrd[[#Headers],[Fortinet FortiGate-1500D]],Comb_scrd[#All],226,FALSE),{"FAIL";"PASS"},0),1,0))*$B$60</f>
        <v>0</v>
      </c>
      <c r="E60" s="106">
        <f>(CHOOSE(MATCH(HLOOKUP(Comb_scrd[[#Headers],[HP TippingPoint S7500NX]],Comb_scrd[#All],226,FALSE),{"FAIL";"PASS"},0),1,0))*$B$60</f>
        <v>0</v>
      </c>
      <c r="F60" s="106">
        <f>(CHOOSE(MATCH(HLOOKUP(Comb_scrd[[#Headers],[IBM Security Network Protection XGS 5100]],Comb_scrd[#All],226,FALSE),{"FAIL";"PASS"},0),1,0))*$B$60</f>
        <v>0</v>
      </c>
      <c r="G60" s="106">
        <f>(CHOOSE(MATCH(HLOOKUP(Comb_scrd[[#Headers],[IBM Security Network Protection XGS 7100]],Comb_scrd[#All],226,FALSE),{"FAIL";"PASS"},0),1,0))*$B$60</f>
        <v>0</v>
      </c>
      <c r="H60" s="106">
        <f>(CHOOSE(MATCH(HLOOKUP(Comb_scrd[[#Headers],[Palo Alto Networks PA-5020]],Comb_scrd[#All],226,FALSE),{"FAIL";"PASS"},0),1,0))*$B$60</f>
        <v>0</v>
      </c>
    </row>
    <row r="61" spans="1:92">
      <c r="A61" s="104" t="s">
        <v>372</v>
      </c>
      <c r="B61" s="105">
        <v>1</v>
      </c>
      <c r="C61" s="106">
        <f>(CHOOSE(MATCH(HLOOKUP(Comb_scrd[[#Headers],[Cisco FirePOWER 8350]],Comb_scrd[#All],227,FALSE),{"FAIL";"PASS"},0),1,0))*$B$61</f>
        <v>0</v>
      </c>
      <c r="D61" s="106">
        <f>(CHOOSE(MATCH(HLOOKUP(Comb_scrd[[#Headers],[Fortinet FortiGate-1500D]],Comb_scrd[#All],227,FALSE),{"FAIL";"PASS"},0),1,0))*$B$61</f>
        <v>0</v>
      </c>
      <c r="E61" s="106">
        <f>(CHOOSE(MATCH(HLOOKUP(Comb_scrd[[#Headers],[HP TippingPoint S7500NX]],Comb_scrd[#All],227,FALSE),{"FAIL";"PASS"},0),1,0))*$B$61</f>
        <v>0</v>
      </c>
      <c r="F61" s="106">
        <f>(CHOOSE(MATCH(HLOOKUP(Comb_scrd[[#Headers],[IBM Security Network Protection XGS 5100]],Comb_scrd[#All],227,FALSE),{"FAIL";"PASS"},0),1,0))*$B$61</f>
        <v>0</v>
      </c>
      <c r="G61" s="106">
        <f>(CHOOSE(MATCH(HLOOKUP(Comb_scrd[[#Headers],[IBM Security Network Protection XGS 7100]],Comb_scrd[#All],227,FALSE),{"FAIL";"PASS"},0),1,0))*$B$61</f>
        <v>0</v>
      </c>
      <c r="H61" s="106">
        <f>(CHOOSE(MATCH(HLOOKUP(Comb_scrd[[#Headers],[Palo Alto Networks PA-5020]],Comb_scrd[#All],227,FALSE),{"FAIL";"PASS"},0),1,0))*$B$61</f>
        <v>0</v>
      </c>
    </row>
    <row r="62" spans="1:92">
      <c r="A62" s="104" t="s">
        <v>49</v>
      </c>
      <c r="B62" s="105">
        <v>0.4</v>
      </c>
      <c r="C62" s="106">
        <f>(CHOOSE(MATCH(HLOOKUP(Comb_scrd[[#Headers],[Cisco FirePOWER 8350]],Comb_scrd[#All],228,FALSE),{"FAIL";"PASS"},0),1,0))*$B$62</f>
        <v>0</v>
      </c>
      <c r="D62" s="106">
        <f>(CHOOSE(MATCH(HLOOKUP(Comb_scrd[[#Headers],[Fortinet FortiGate-1500D]],Comb_scrd[#All],228,FALSE),{"FAIL";"PASS"},0),1,0))*$B$62</f>
        <v>0</v>
      </c>
      <c r="E62" s="106">
        <f>(CHOOSE(MATCH(HLOOKUP(Comb_scrd[[#Headers],[HP TippingPoint S7500NX]],Comb_scrd[#All],228,FALSE),{"FAIL";"PASS"},0),1,0))*$B$62</f>
        <v>0</v>
      </c>
      <c r="F62" s="106">
        <f>(CHOOSE(MATCH(HLOOKUP(Comb_scrd[[#Headers],[IBM Security Network Protection XGS 5100]],Comb_scrd[#All],228,FALSE),{"FAIL";"PASS"},0),1,0))*$B$62</f>
        <v>0</v>
      </c>
      <c r="G62" s="106">
        <f>(CHOOSE(MATCH(HLOOKUP(Comb_scrd[[#Headers],[IBM Security Network Protection XGS 7100]],Comb_scrd[#All],228,FALSE),{"FAIL";"PASS"},0),1,0))*$B$62</f>
        <v>0</v>
      </c>
      <c r="H62" s="106">
        <f>(CHOOSE(MATCH(HLOOKUP(Comb_scrd[[#Headers],[Palo Alto Networks PA-5020]],Comb_scrd[#All],228,FALSE),{"FAIL";"PASS"},0),1,0))*$B$62</f>
        <v>0</v>
      </c>
    </row>
    <row r="63" spans="1:92">
      <c r="A63" s="104" t="s">
        <v>50</v>
      </c>
      <c r="B63" s="105">
        <v>0.2</v>
      </c>
      <c r="C63" s="106">
        <f>(CHOOSE(MATCH(HLOOKUP(Comb_scrd[[#Headers],[Cisco FirePOWER 8350]],Comb_scrd[#All],229,FALSE),{"FAIL";"PASS"},0),1,0))*$B$63</f>
        <v>0</v>
      </c>
      <c r="D63" s="106">
        <f>(CHOOSE(MATCH(HLOOKUP(Comb_scrd[[#Headers],[Fortinet FortiGate-1500D]],Comb_scrd[#All],229,FALSE),{"FAIL";"PASS"},0),1,0))*$B$63</f>
        <v>0</v>
      </c>
      <c r="E63" s="106">
        <f>(CHOOSE(MATCH(HLOOKUP(Comb_scrd[[#Headers],[HP TippingPoint S7500NX]],Comb_scrd[#All],229,FALSE),{"FAIL";"PASS"},0),1,0))*$B$63</f>
        <v>0</v>
      </c>
      <c r="F63" s="106">
        <f>(CHOOSE(MATCH(HLOOKUP(Comb_scrd[[#Headers],[IBM Security Network Protection XGS 5100]],Comb_scrd[#All],229,FALSE),{"FAIL";"PASS"},0),1,0))*$B$63</f>
        <v>0</v>
      </c>
      <c r="G63" s="106">
        <f>(CHOOSE(MATCH(HLOOKUP(Comb_scrd[[#Headers],[IBM Security Network Protection XGS 7100]],Comb_scrd[#All],229,FALSE),{"FAIL";"PASS"},0),1,0))*$B$63</f>
        <v>0</v>
      </c>
      <c r="H63" s="106">
        <f>(CHOOSE(MATCH(HLOOKUP(Comb_scrd[[#Headers],[Palo Alto Networks PA-5020]],Comb_scrd[#All],229,FALSE),{"FAIL";"PASS"},0),1,0))*$B$63</f>
        <v>0</v>
      </c>
    </row>
    <row r="64" spans="1:92">
      <c r="A64" s="104" t="s">
        <v>51</v>
      </c>
      <c r="B64" s="105">
        <v>0</v>
      </c>
      <c r="C64" s="106">
        <f>(CHOOSE(MATCH(HLOOKUP(Comb_scrd[[#Headers],[Cisco FirePOWER 8350]],Comb_scrd[#All],230,FALSE),{"No";"Yes"},0),1,0))*$B$64</f>
        <v>0</v>
      </c>
      <c r="D64" s="106">
        <f>(CHOOSE(MATCH(HLOOKUP(Comb_scrd[[#Headers],[Fortinet FortiGate-1500D]],Comb_scrd[#All],230,FALSE),{"No";"Yes"},0),1,0))*$B$64</f>
        <v>0</v>
      </c>
      <c r="E64" s="106">
        <f>(CHOOSE(MATCH(HLOOKUP(Comb_scrd[[#Headers],[HP TippingPoint S7500NX]],Comb_scrd[#All],230,FALSE),{"No";"Yes"},0),1,0))*$B$64</f>
        <v>0</v>
      </c>
      <c r="F64" s="106">
        <f>(CHOOSE(MATCH(HLOOKUP(Comb_scrd[[#Headers],[IBM Security Network Protection XGS 5100]],Comb_scrd[#All],230,FALSE),{"No";"Yes"},0),1,0))*$B$64</f>
        <v>0</v>
      </c>
      <c r="G64" s="106">
        <f>(CHOOSE(MATCH(HLOOKUP(Comb_scrd[[#Headers],[IBM Security Network Protection XGS 7100]],Comb_scrd[#All],230,FALSE),{"No";"Yes"},0),1,0))*$B$64</f>
        <v>0</v>
      </c>
      <c r="H64" s="106">
        <f>(CHOOSE(MATCH(HLOOKUP(Comb_scrd[[#Headers],[Palo Alto Networks PA-5020]],Comb_scrd[#All],230,FALSE),{"No";"Yes"},0),1,0))*$B$64</f>
        <v>0</v>
      </c>
    </row>
    <row r="65" spans="1:13">
      <c r="A65" s="104" t="s">
        <v>52</v>
      </c>
      <c r="B65" s="105">
        <v>0.2</v>
      </c>
      <c r="C65" s="106">
        <f>(CHOOSE(MATCH(HLOOKUP(Comb_scrd[[#Headers],[Cisco FirePOWER 8350]],Comb_scrd[#All],231,FALSE),{"FAIL";"PASS"},0),1,0))*$B$65</f>
        <v>0</v>
      </c>
      <c r="D65" s="106">
        <f>(CHOOSE(MATCH(HLOOKUP(Comb_scrd[[#Headers],[Fortinet FortiGate-1500D]],Comb_scrd[#All],231,FALSE),{"FAIL";"PASS"},0),1,0))*$B$65</f>
        <v>0</v>
      </c>
      <c r="E65" s="106">
        <f>(CHOOSE(MATCH(HLOOKUP(Comb_scrd[[#Headers],[HP TippingPoint S7500NX]],Comb_scrd[#All],231,FALSE),{"FAIL";"PASS"},0),1,0))*$B$65</f>
        <v>0</v>
      </c>
      <c r="F65" s="106">
        <f>(CHOOSE(MATCH(HLOOKUP(Comb_scrd[[#Headers],[IBM Security Network Protection XGS 5100]],Comb_scrd[#All],231,FALSE),{"FAIL";"PASS"},0),1,0))*$B$65</f>
        <v>0</v>
      </c>
      <c r="G65" s="106">
        <f>(CHOOSE(MATCH(HLOOKUP(Comb_scrd[[#Headers],[IBM Security Network Protection XGS 7100]],Comb_scrd[#All],231,FALSE),{"FAIL";"PASS"},0),1,0))*$B$65</f>
        <v>0</v>
      </c>
      <c r="H65" s="106">
        <f>(CHOOSE(MATCH(HLOOKUP(Comb_scrd[[#Headers],[Palo Alto Networks PA-5020]],Comb_scrd[#All],231,FALSE),{"FAIL";"PASS"},0),1,0))*$B$65</f>
        <v>0</v>
      </c>
    </row>
    <row r="66" spans="1:13">
      <c r="B66" s="117"/>
      <c r="C66" s="118"/>
      <c r="D66" s="119"/>
      <c r="E66" s="120"/>
      <c r="F66" s="119"/>
      <c r="G66" s="119"/>
      <c r="H66" s="20"/>
      <c r="I66" s="20"/>
      <c r="J66" s="20"/>
      <c r="K66" s="19"/>
      <c r="L66" s="19"/>
      <c r="M66" s="19"/>
    </row>
    <row r="67" spans="1:13">
      <c r="B67" s="117"/>
      <c r="E67" s="119"/>
      <c r="F67" s="119"/>
      <c r="G67" s="119"/>
      <c r="H67" s="20"/>
      <c r="I67" s="20"/>
      <c r="J67" s="20"/>
      <c r="K67" s="19"/>
      <c r="L67" s="19"/>
      <c r="M67" s="19"/>
    </row>
    <row r="68" spans="1:13">
      <c r="A68" s="21" t="s">
        <v>132</v>
      </c>
      <c r="B68" s="121" t="s">
        <v>703</v>
      </c>
      <c r="C68" s="117"/>
      <c r="D68" s="117"/>
      <c r="E68" s="117"/>
      <c r="F68" s="117"/>
      <c r="G68" s="117"/>
      <c r="H68" s="358"/>
      <c r="I68" s="19"/>
      <c r="J68" s="19"/>
      <c r="K68" s="19"/>
      <c r="L68" s="19"/>
      <c r="M68" s="19"/>
    </row>
    <row r="69" spans="1:13">
      <c r="B69" s="117"/>
      <c r="C69" s="117"/>
      <c r="D69" s="117"/>
      <c r="E69" s="117"/>
      <c r="F69" s="117"/>
      <c r="G69" s="117"/>
      <c r="H69" s="358"/>
      <c r="I69" s="19"/>
      <c r="J69" s="19"/>
      <c r="K69" s="19"/>
      <c r="L69" s="19"/>
      <c r="M69" s="19"/>
    </row>
    <row r="70" spans="1:13">
      <c r="B70" s="117"/>
      <c r="C70" s="117"/>
      <c r="D70" s="117"/>
      <c r="E70" s="117"/>
      <c r="F70" s="117"/>
      <c r="G70" s="117"/>
      <c r="H70" s="358"/>
      <c r="I70" s="19"/>
      <c r="J70" s="19"/>
      <c r="K70" s="19"/>
      <c r="L70" s="19"/>
      <c r="M70" s="19"/>
    </row>
    <row r="71" spans="1:13">
      <c r="B71" s="117"/>
      <c r="C71" s="122"/>
      <c r="D71" s="122"/>
      <c r="E71" s="122"/>
      <c r="F71" s="122"/>
      <c r="G71" s="122"/>
      <c r="H71" s="359"/>
      <c r="I71" s="22"/>
      <c r="J71" s="22"/>
      <c r="K71" s="19"/>
      <c r="L71" s="19"/>
      <c r="M71" s="19"/>
    </row>
    <row r="72" spans="1:13">
      <c r="B72" s="117"/>
      <c r="C72" s="123"/>
      <c r="D72" s="124"/>
      <c r="E72" s="124"/>
      <c r="F72" s="124"/>
      <c r="G72" s="124"/>
      <c r="H72" s="23"/>
      <c r="I72" s="23"/>
      <c r="J72" s="23"/>
      <c r="K72" s="19"/>
      <c r="L72" s="19"/>
      <c r="M72" s="19"/>
    </row>
    <row r="73" spans="1:13">
      <c r="B73" s="117"/>
      <c r="C73" s="125"/>
      <c r="D73" s="126"/>
      <c r="E73" s="126"/>
      <c r="F73" s="126"/>
      <c r="G73" s="126"/>
      <c r="H73" s="360"/>
      <c r="I73" s="24"/>
      <c r="J73" s="24"/>
      <c r="K73" s="19"/>
      <c r="L73" s="19"/>
      <c r="M73" s="19"/>
    </row>
    <row r="74" spans="1:13">
      <c r="B74" s="117"/>
      <c r="C74" s="125"/>
      <c r="D74" s="126"/>
      <c r="E74" s="126"/>
      <c r="F74" s="126"/>
      <c r="G74" s="126"/>
      <c r="H74" s="360"/>
      <c r="I74" s="24"/>
      <c r="J74" s="24"/>
      <c r="K74" s="19"/>
      <c r="L74" s="19"/>
      <c r="M74" s="19"/>
    </row>
    <row r="75" spans="1:13">
      <c r="B75" s="117"/>
      <c r="C75" s="125"/>
      <c r="D75" s="126"/>
      <c r="E75" s="126"/>
      <c r="F75" s="126"/>
      <c r="G75" s="126"/>
      <c r="H75" s="360"/>
      <c r="I75" s="24"/>
      <c r="J75" s="24"/>
      <c r="K75" s="19"/>
      <c r="L75" s="19"/>
      <c r="M75" s="19"/>
    </row>
    <row r="76" spans="1:13">
      <c r="B76" s="117"/>
      <c r="C76" s="117"/>
      <c r="D76" s="117"/>
      <c r="E76" s="117"/>
      <c r="F76" s="117"/>
      <c r="G76" s="117"/>
      <c r="H76" s="358"/>
      <c r="I76" s="19"/>
      <c r="J76" s="19"/>
      <c r="K76" s="19"/>
      <c r="L76" s="19"/>
      <c r="M76" s="19"/>
    </row>
    <row r="77" spans="1:13">
      <c r="B77" s="117"/>
      <c r="C77" s="117"/>
      <c r="D77" s="117"/>
      <c r="E77" s="117"/>
      <c r="F77" s="117"/>
      <c r="G77" s="117"/>
      <c r="H77" s="358"/>
      <c r="I77" s="19"/>
      <c r="J77" s="19"/>
      <c r="K77" s="19"/>
      <c r="L77" s="19"/>
      <c r="M77" s="19"/>
    </row>
    <row r="78" spans="1:13">
      <c r="B78" s="117"/>
      <c r="C78" s="117"/>
      <c r="D78" s="117"/>
      <c r="E78" s="117"/>
      <c r="F78" s="117"/>
      <c r="G78" s="117"/>
      <c r="H78" s="358"/>
      <c r="I78" s="19"/>
      <c r="J78" s="19"/>
      <c r="K78" s="19"/>
      <c r="L78" s="19"/>
      <c r="M78" s="19"/>
    </row>
    <row r="79" spans="1:13">
      <c r="B79" s="117"/>
      <c r="C79" s="127"/>
      <c r="D79" s="117"/>
      <c r="E79" s="117"/>
      <c r="F79" s="117"/>
      <c r="G79" s="117"/>
      <c r="H79" s="358"/>
      <c r="I79" s="19"/>
      <c r="J79" s="19"/>
      <c r="K79" s="19"/>
      <c r="L79" s="19"/>
      <c r="M79" s="19"/>
    </row>
    <row r="80" spans="1:13">
      <c r="B80" s="117"/>
      <c r="C80" s="128"/>
      <c r="D80" s="129"/>
      <c r="E80" s="129"/>
      <c r="F80" s="129"/>
      <c r="G80" s="129"/>
      <c r="H80" s="25"/>
      <c r="I80" s="25"/>
      <c r="J80" s="25"/>
      <c r="K80" s="19"/>
      <c r="L80" s="19"/>
      <c r="M80" s="19"/>
    </row>
    <row r="81" spans="2:12">
      <c r="B81" s="117"/>
      <c r="C81" s="130"/>
      <c r="D81" s="119"/>
      <c r="E81" s="119"/>
      <c r="F81" s="119"/>
      <c r="G81" s="119"/>
      <c r="H81" s="20"/>
      <c r="I81" s="20"/>
      <c r="J81" s="20"/>
      <c r="K81" s="19"/>
      <c r="L81" s="19"/>
    </row>
    <row r="82" spans="2:12">
      <c r="B82" s="117"/>
      <c r="C82" s="130"/>
      <c r="D82" s="119"/>
      <c r="E82" s="119"/>
      <c r="F82" s="119"/>
      <c r="G82" s="119"/>
      <c r="H82" s="20"/>
      <c r="I82" s="20"/>
      <c r="J82" s="20"/>
      <c r="K82" s="19"/>
      <c r="L82" s="19"/>
    </row>
    <row r="83" spans="2:12">
      <c r="B83" s="117"/>
      <c r="C83" s="130"/>
      <c r="D83" s="119"/>
      <c r="E83" s="119"/>
      <c r="F83" s="119"/>
      <c r="G83" s="119"/>
      <c r="H83" s="20"/>
      <c r="I83" s="20"/>
      <c r="J83" s="20"/>
      <c r="K83" s="19"/>
      <c r="L83" s="19"/>
    </row>
    <row r="84" spans="2:12">
      <c r="B84" s="117"/>
      <c r="C84" s="117"/>
      <c r="D84" s="117"/>
      <c r="E84" s="117"/>
      <c r="F84" s="117"/>
      <c r="G84" s="117"/>
      <c r="H84" s="358"/>
      <c r="I84" s="19"/>
      <c r="J84" s="19"/>
      <c r="K84" s="19"/>
      <c r="L84" s="19"/>
    </row>
    <row r="85" spans="2:12">
      <c r="B85" s="117"/>
      <c r="C85" s="117"/>
      <c r="D85" s="117"/>
      <c r="E85" s="117"/>
      <c r="F85" s="117"/>
      <c r="G85" s="117"/>
      <c r="H85" s="358"/>
      <c r="I85" s="19"/>
      <c r="J85" s="19"/>
      <c r="K85" s="19"/>
      <c r="L85" s="19"/>
    </row>
    <row r="86" spans="2:12">
      <c r="B86" s="117"/>
      <c r="C86" s="117"/>
      <c r="D86" s="117"/>
      <c r="E86" s="117"/>
      <c r="F86" s="117"/>
      <c r="G86" s="117"/>
      <c r="H86" s="358"/>
      <c r="I86" s="19"/>
      <c r="J86" s="19"/>
      <c r="K86" s="19"/>
      <c r="L86" s="19"/>
    </row>
    <row r="87" spans="2:12">
      <c r="B87" s="117"/>
      <c r="C87" s="127"/>
      <c r="D87" s="117"/>
      <c r="E87" s="117"/>
      <c r="F87" s="117"/>
      <c r="G87" s="117"/>
      <c r="H87" s="358"/>
      <c r="I87" s="19"/>
      <c r="J87" s="19"/>
      <c r="K87" s="19"/>
      <c r="L87" s="19"/>
    </row>
    <row r="88" spans="2:12">
      <c r="B88" s="117"/>
      <c r="C88" s="128"/>
      <c r="D88" s="129"/>
      <c r="E88" s="129"/>
      <c r="F88" s="129"/>
      <c r="G88" s="129"/>
      <c r="H88" s="25"/>
      <c r="I88" s="25"/>
      <c r="J88" s="25"/>
      <c r="K88" s="19"/>
      <c r="L88" s="19"/>
    </row>
    <row r="89" spans="2:12">
      <c r="B89" s="117"/>
      <c r="C89" s="130"/>
      <c r="D89" s="119"/>
      <c r="E89" s="119"/>
      <c r="F89" s="119"/>
      <c r="G89" s="119"/>
      <c r="H89" s="20"/>
      <c r="I89" s="20"/>
      <c r="J89" s="20"/>
      <c r="K89" s="19"/>
      <c r="L89" s="19"/>
    </row>
    <row r="90" spans="2:12">
      <c r="B90" s="117"/>
      <c r="C90" s="130"/>
      <c r="D90" s="119"/>
      <c r="E90" s="119"/>
      <c r="F90" s="119"/>
      <c r="G90" s="119"/>
      <c r="H90" s="20"/>
      <c r="I90" s="20"/>
      <c r="J90" s="20"/>
      <c r="K90" s="19"/>
      <c r="L90" s="19"/>
    </row>
    <row r="91" spans="2:12">
      <c r="C91" s="130"/>
      <c r="D91" s="119"/>
      <c r="E91" s="119"/>
      <c r="F91" s="119"/>
      <c r="G91" s="119"/>
      <c r="H91" s="20"/>
      <c r="I91" s="20"/>
      <c r="J91" s="20"/>
      <c r="K91" s="19"/>
      <c r="L91" s="19"/>
    </row>
    <row r="92" spans="2:12">
      <c r="C92" s="117"/>
      <c r="D92" s="117"/>
      <c r="E92" s="117"/>
      <c r="F92" s="117"/>
      <c r="G92" s="117"/>
      <c r="H92" s="358"/>
      <c r="I92" s="19"/>
      <c r="J92" s="19"/>
      <c r="K92" s="19"/>
      <c r="L92" s="19"/>
    </row>
    <row r="93" spans="2:12">
      <c r="C93" s="117"/>
      <c r="D93" s="117"/>
      <c r="E93" s="117"/>
      <c r="F93" s="117"/>
      <c r="G93" s="117"/>
      <c r="H93" s="358"/>
      <c r="I93" s="19"/>
      <c r="J93" s="19"/>
      <c r="K93" s="19"/>
      <c r="L93" s="19"/>
    </row>
  </sheetData>
  <sheetProtection algorithmName="SHA-512" hashValue="5mutidL63Z7CI3VUv4DP+ChphdPPLDLwI3GXvbASEup5cz95vWju5EtoMzrGp6wnybtHo37RsE3oG86s+ZY7Ug==" saltValue="wBxEVYRf5wYdrhyOGcIeMQ==" spinCount="100000" sheet="1" objects="1" scenarios="1"/>
  <conditionalFormatting sqref="C66 C39:H46 C48:H52">
    <cfRule type="containsText" dxfId="213" priority="509" operator="containsText" text="FAIL">
      <formula>NOT(ISERROR(SEARCH("FAIL",C39)))</formula>
    </cfRule>
  </conditionalFormatting>
  <conditionalFormatting sqref="E66:J67 C53:H53 C56:H56 C38:H38 C47:H47">
    <cfRule type="cellIs" dxfId="212" priority="508" operator="equal">
      <formula>0</formula>
    </cfRule>
  </conditionalFormatting>
  <conditionalFormatting sqref="D66:J66 E67:J67">
    <cfRule type="containsText" dxfId="211" priority="502" operator="containsText" text="FAIL">
      <formula>NOT(ISERROR(SEARCH("FAIL",D66)))</formula>
    </cfRule>
  </conditionalFormatting>
  <conditionalFormatting sqref="D2">
    <cfRule type="containsText" dxfId="210" priority="495" operator="containsText" text="FAIL">
      <formula>NOT(ISERROR(SEARCH("FAIL",D2)))</formula>
    </cfRule>
  </conditionalFormatting>
  <conditionalFormatting sqref="C2">
    <cfRule type="containsText" dxfId="209" priority="494" operator="containsText" text="FAIL">
      <formula>NOT(ISERROR(SEARCH("FAIL",C2)))</formula>
    </cfRule>
  </conditionalFormatting>
  <conditionalFormatting sqref="B53">
    <cfRule type="containsText" dxfId="207" priority="266" operator="containsText" text="FAIL">
      <formula>NOT(ISERROR(SEARCH("FAIL",B53)))</formula>
    </cfRule>
  </conditionalFormatting>
  <conditionalFormatting sqref="C57:H65 C54:H55 C39:H46 C48:H52">
    <cfRule type="cellIs" dxfId="206" priority="286" operator="greaterThan">
      <formula>0</formula>
    </cfRule>
  </conditionalFormatting>
  <conditionalFormatting sqref="C53:H53">
    <cfRule type="colorScale" priority="2754">
      <colorScale>
        <cfvo type="min"/>
        <cfvo type="percentile" val="50"/>
        <cfvo type="max"/>
        <color rgb="FFF8696B"/>
        <color rgb="FFFFEB84"/>
        <color rgb="FF63BE7B"/>
      </colorScale>
    </cfRule>
    <cfRule type="cellIs" dxfId="205" priority="2755" operator="equal">
      <formula>0</formula>
    </cfRule>
  </conditionalFormatting>
  <conditionalFormatting sqref="C56:H56">
    <cfRule type="colorScale" priority="2756">
      <colorScale>
        <cfvo type="min"/>
        <cfvo type="percentile" val="50"/>
        <cfvo type="max"/>
        <color rgb="FFF8696B"/>
        <color rgb="FFFFEB84"/>
        <color rgb="FF63BE7B"/>
      </colorScale>
    </cfRule>
    <cfRule type="cellIs" dxfId="204" priority="2757" operator="equal">
      <formula>0</formula>
    </cfRule>
  </conditionalFormatting>
  <conditionalFormatting sqref="C38:H38">
    <cfRule type="colorScale" priority="2762">
      <colorScale>
        <cfvo type="min"/>
        <cfvo type="percentile" val="50"/>
        <cfvo type="max"/>
        <color rgb="FFF8696B"/>
        <color rgb="FFFFEB84"/>
        <color rgb="FF63BE7B"/>
      </colorScale>
    </cfRule>
    <cfRule type="cellIs" dxfId="201" priority="2763" operator="equal">
      <formula>0</formula>
    </cfRule>
  </conditionalFormatting>
  <conditionalFormatting sqref="C47:H47">
    <cfRule type="colorScale" priority="2764">
      <colorScale>
        <cfvo type="min"/>
        <cfvo type="percentile" val="50"/>
        <cfvo type="max"/>
        <color rgb="FFF8696B"/>
        <color rgb="FFFFEB84"/>
        <color rgb="FF63BE7B"/>
      </colorScale>
    </cfRule>
    <cfRule type="cellIs" dxfId="200" priority="2765" operator="equal">
      <formula>0</formula>
    </cfRule>
  </conditionalFormatting>
  <dataValidations count="1">
    <dataValidation type="list" allowBlank="1" showInputMessage="1" showErrorMessage="1" errorTitle="Please input Y or N" error="Please input Y or N" prompt="Select from list or enter Y/N only" sqref="B68">
      <formula1>"Y,N"</formula1>
    </dataValidation>
  </dataValidations>
  <pageMargins left="0.75" right="0.75" top="1" bottom="1" header="0.5" footer="0.5"/>
  <pageSetup orientation="portrait" horizontalDpi="4294967292" verticalDpi="4294967292" r:id="rId1"/>
  <ignoredErrors>
    <ignoredError sqref="C16" calculatedColumn="1"/>
  </ignoredErrors>
  <tableParts count="6">
    <tablePart r:id="rId2"/>
    <tablePart r:id="rId3"/>
    <tablePart r:id="rId4"/>
    <tablePart r:id="rId5"/>
    <tablePart r:id="rId6"/>
    <tablePart r:id="rId7"/>
  </tablePart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61"/>
  <sheetViews>
    <sheetView showGridLines="0" tabSelected="1" zoomScale="85" zoomScaleNormal="85" workbookViewId="0">
      <selection activeCell="E64" sqref="E64"/>
    </sheetView>
  </sheetViews>
  <sheetFormatPr defaultColWidth="16.140625" defaultRowHeight="12.75"/>
  <cols>
    <col min="1" max="1" width="16.140625" style="13"/>
    <col min="2" max="2" width="29.7109375" style="13" customWidth="1"/>
    <col min="3" max="3" width="16.140625" style="13"/>
    <col min="4" max="4" width="13.7109375" style="13" customWidth="1"/>
    <col min="5" max="5" width="13" style="13" customWidth="1"/>
    <col min="6" max="6" width="14.28515625" style="13" customWidth="1"/>
    <col min="7" max="7" width="15.85546875" style="13" customWidth="1"/>
    <col min="8" max="8" width="18.85546875" style="13" customWidth="1"/>
    <col min="9" max="9" width="17.7109375" style="13" customWidth="1"/>
    <col min="10" max="11" width="20.42578125" style="13" customWidth="1"/>
    <col min="12" max="12" width="23.7109375" style="13" customWidth="1"/>
    <col min="13" max="13" width="20.28515625" style="13" customWidth="1"/>
    <col min="14" max="22" width="16.140625" style="13"/>
    <col min="23" max="23" width="17.140625" style="13" customWidth="1"/>
    <col min="24" max="35" width="16.140625" style="13"/>
    <col min="36" max="36" width="20.42578125" style="13" customWidth="1"/>
    <col min="37" max="37" width="10" style="13" bestFit="1" customWidth="1"/>
    <col min="38" max="38" width="16.140625" style="13" customWidth="1"/>
    <col min="39" max="39" width="15.42578125" style="13" customWidth="1"/>
    <col min="40" max="40" width="11.140625" style="13" bestFit="1" customWidth="1"/>
    <col min="41" max="16384" width="16.140625" style="13"/>
  </cols>
  <sheetData>
    <row r="1" spans="1:14">
      <c r="A1" s="14"/>
    </row>
    <row r="2" spans="1:14">
      <c r="B2" s="28" t="s">
        <v>128</v>
      </c>
      <c r="C2" s="29"/>
      <c r="D2" s="29">
        <f>Inputs_table1[NGIPS]</f>
        <v>20</v>
      </c>
      <c r="E2" s="29" t="str">
        <f>Inputs_table1[[#Headers],[NGIPS]]</f>
        <v>NGIPS</v>
      </c>
      <c r="L2" s="28" t="s">
        <v>500</v>
      </c>
      <c r="M2" s="29">
        <f>Inputs_table1[NGIPS]</f>
        <v>20</v>
      </c>
      <c r="N2" s="29" t="str">
        <f>Inputs_table1[[#Headers],[NGIPS]]</f>
        <v>NGIPS</v>
      </c>
    </row>
    <row r="3" spans="1:14">
      <c r="C3" s="29"/>
      <c r="D3" s="29">
        <f>Inputs_table1[Central Management]</f>
        <v>1</v>
      </c>
      <c r="E3" s="29" t="str">
        <f>Inputs_table1[[#Headers],[Central Management]]</f>
        <v>Central Management</v>
      </c>
      <c r="M3" s="29">
        <f>Inputs_table1[Central Management]</f>
        <v>1</v>
      </c>
      <c r="N3" s="29" t="str">
        <f>Inputs_table1[[#Headers],[Central Management]]</f>
        <v>Central Management</v>
      </c>
    </row>
    <row r="47" spans="2:22">
      <c r="B47" s="26" t="s">
        <v>439</v>
      </c>
      <c r="C47" s="30"/>
      <c r="D47" s="30"/>
      <c r="E47" s="30"/>
      <c r="L47" s="26" t="s">
        <v>129</v>
      </c>
      <c r="M47" s="15"/>
      <c r="N47" s="56"/>
      <c r="O47" s="55"/>
      <c r="P47" s="15"/>
      <c r="Q47" s="15"/>
      <c r="R47" s="54"/>
      <c r="S47" s="55"/>
      <c r="T47" s="15"/>
      <c r="U47" s="15"/>
      <c r="V47" s="57"/>
    </row>
    <row r="48" spans="2:22" ht="38.25">
      <c r="B48" s="31" t="s">
        <v>74</v>
      </c>
      <c r="C48" s="32" t="s">
        <v>422</v>
      </c>
      <c r="D48" s="32" t="s">
        <v>466</v>
      </c>
      <c r="E48" s="32" t="s">
        <v>387</v>
      </c>
      <c r="F48" s="32" t="s">
        <v>488</v>
      </c>
      <c r="G48" s="32" t="s">
        <v>486</v>
      </c>
      <c r="H48" s="32" t="s">
        <v>46</v>
      </c>
      <c r="I48" s="33" t="s">
        <v>2</v>
      </c>
      <c r="J48" s="32" t="s">
        <v>459</v>
      </c>
      <c r="K48" s="317"/>
      <c r="L48" s="58" t="s">
        <v>74</v>
      </c>
      <c r="M48" s="59" t="s">
        <v>422</v>
      </c>
      <c r="N48" s="59" t="s">
        <v>466</v>
      </c>
      <c r="O48" s="59" t="s">
        <v>387</v>
      </c>
      <c r="P48" s="59" t="s">
        <v>480</v>
      </c>
      <c r="Q48" s="59" t="s">
        <v>486</v>
      </c>
      <c r="R48" s="59" t="s">
        <v>46</v>
      </c>
      <c r="S48" s="60" t="s">
        <v>2</v>
      </c>
      <c r="T48" s="59" t="s">
        <v>459</v>
      </c>
    </row>
    <row r="49" spans="2:48">
      <c r="B49" s="133" t="s">
        <v>701</v>
      </c>
      <c r="C49" s="80">
        <v>6039191.9999999981</v>
      </c>
      <c r="D49" s="81">
        <v>18532.8</v>
      </c>
      <c r="E49" s="82">
        <v>0.99518408324552166</v>
      </c>
      <c r="F49" s="37">
        <v>16</v>
      </c>
      <c r="G49" s="83">
        <v>1</v>
      </c>
      <c r="H49" s="84">
        <v>1</v>
      </c>
      <c r="I49" s="39">
        <v>0.99518408324552166</v>
      </c>
      <c r="J49" s="37">
        <v>16</v>
      </c>
      <c r="K49" s="27"/>
      <c r="L49" s="133" t="str">
        <f>Comb_scrd[[#Headers],[Cisco FirePOWER 8350]]</f>
        <v>Cisco FirePOWER 8350</v>
      </c>
      <c r="M49" s="64">
        <f>HLOOKUP(SVM_Table2[Product],Calc_results_table5[#All],4,FALSE)</f>
        <v>6039191.9999999981</v>
      </c>
      <c r="N49" s="85">
        <f>VLOOKUP(SVM_Table2[[#This Row],[Product]],Perf_table1[#All],2,FALSE)</f>
        <v>18532.8</v>
      </c>
      <c r="O49" s="86">
        <f>VLOOKUP(SVM_Table2[[#This Row],[Product]],TCO_Calc_table4[#All],4,FALSE)</f>
        <v>0.99518408324552166</v>
      </c>
      <c r="P49" s="64">
        <f>ROUND((SVM_Table2[[#This Row],[3-Year TCO]]/(SVM_Table2[[#This Row],[Block Rate]]*SVM_Table2[[#This Row],[NSS-Tested Throughput (Mbps)]]))/SVM!$M$2,0)</f>
        <v>16</v>
      </c>
      <c r="Q49" s="87">
        <f>HLOOKUP(SVM_Table2[[#This Row],[Product]],Inputs_table6[#All],2,FALSE)</f>
        <v>1</v>
      </c>
      <c r="R49" s="88">
        <f>HLOOKUP(SVM_Table2[[#This Row],[Product]],Inputs_table6[#All],17,FALSE)</f>
        <v>1</v>
      </c>
      <c r="S49" s="399">
        <f>SVM_Table2[[#This Row],[Block Rate]]*SVM_Table2[[#This Row],[Evasions]]*SVM_Table2[[#This Row],[Stability &amp; Reliability]]</f>
        <v>0.99518408324552166</v>
      </c>
      <c r="T49" s="37">
        <f>ROUND((SVM_Table2[[#This Row],[3-Year TCO]]/(SVM_Table2[[#This Row],[Security Effectiveness]]*SVM_Table2[[#This Row],[NSS-Tested Throughput (Mbps)]]))/SVM!$M$2,0)</f>
        <v>16</v>
      </c>
    </row>
    <row r="50" spans="2:48">
      <c r="B50" s="133" t="s">
        <v>700</v>
      </c>
      <c r="C50" s="34">
        <v>1151691</v>
      </c>
      <c r="D50" s="35">
        <v>11726.8</v>
      </c>
      <c r="E50" s="36">
        <v>0.99160531305383703</v>
      </c>
      <c r="F50" s="37">
        <v>5</v>
      </c>
      <c r="G50" s="38">
        <v>1</v>
      </c>
      <c r="H50" s="38">
        <v>1</v>
      </c>
      <c r="I50" s="39">
        <v>0.99160531305383703</v>
      </c>
      <c r="J50" s="37">
        <v>5</v>
      </c>
      <c r="K50" s="27"/>
      <c r="L50" s="133" t="str">
        <f>Comb_scrd[[#Headers],[Fortinet FortiGate-1500D]]</f>
        <v>Fortinet FortiGate-1500D</v>
      </c>
      <c r="M50" s="61">
        <f>HLOOKUP(SVM_Table2[Product],Calc_results_table5[#All],4,FALSE)</f>
        <v>1151691</v>
      </c>
      <c r="N50" s="62">
        <f>VLOOKUP(SVM_Table2[[#This Row],[Product]],Perf_table1[#All],2,FALSE)</f>
        <v>11726.8</v>
      </c>
      <c r="O50" s="63">
        <f>VLOOKUP(SVM_Table2[[#This Row],[Product]],TCO_Calc_table4[#All],4,FALSE)</f>
        <v>0.99160531305383703</v>
      </c>
      <c r="P50" s="64">
        <f>ROUND((SVM_Table2[[#This Row],[3-Year TCO]]/(SVM_Table2[[#This Row],[Block Rate]]*SVM_Table2[[#This Row],[NSS-Tested Throughput (Mbps)]]))/SVM!$M$2,0)</f>
        <v>5</v>
      </c>
      <c r="Q50" s="65">
        <f>HLOOKUP(SVM_Table2[[#This Row],[Product]],Inputs_table6[#All],2,FALSE)</f>
        <v>1</v>
      </c>
      <c r="R50" s="66">
        <f>HLOOKUP(SVM_Table2[[#This Row],[Product]],Inputs_table6[#All],17,FALSE)</f>
        <v>1</v>
      </c>
      <c r="S50" s="399">
        <f>SVM_Table2[[#This Row],[Block Rate]]*SVM_Table2[[#This Row],[Evasions]]*SVM_Table2[[#This Row],[Stability &amp; Reliability]]</f>
        <v>0.99160531305383703</v>
      </c>
      <c r="T50" s="37">
        <f>ROUND((SVM_Table2[[#This Row],[3-Year TCO]]/(SVM_Table2[[#This Row],[Security Effectiveness]]*SVM_Table2[[#This Row],[NSS-Tested Throughput (Mbps)]]))/SVM!$M$2,0)</f>
        <v>5</v>
      </c>
    </row>
    <row r="51" spans="2:48">
      <c r="B51" s="133" t="s">
        <v>698</v>
      </c>
      <c r="C51" s="34">
        <v>6530568</v>
      </c>
      <c r="D51" s="35">
        <v>18694.400000000001</v>
      </c>
      <c r="E51" s="36">
        <v>0.86619640834260148</v>
      </c>
      <c r="F51" s="37">
        <v>20</v>
      </c>
      <c r="G51" s="38">
        <v>1</v>
      </c>
      <c r="H51" s="375">
        <v>1</v>
      </c>
      <c r="I51" s="39">
        <v>0.86619640834260148</v>
      </c>
      <c r="J51" s="80">
        <v>20</v>
      </c>
      <c r="K51" s="27"/>
      <c r="L51" s="133" t="str">
        <f>Comb_scrd[[#Headers],[HP TippingPoint S7500NX]]</f>
        <v>HP TippingPoint S7500NX</v>
      </c>
      <c r="M51" s="61">
        <f>HLOOKUP(SVM_Table2[Product],Calc_results_table5[#All],4,FALSE)</f>
        <v>6530568</v>
      </c>
      <c r="N51" s="62">
        <f>VLOOKUP(SVM_Table2[[#This Row],[Product]],Perf_table1[#All],2,FALSE)</f>
        <v>18694.400000000001</v>
      </c>
      <c r="O51" s="63">
        <f>VLOOKUP(SVM_Table2[[#This Row],[Product]],TCO_Calc_table4[#All],4,FALSE)</f>
        <v>0.86619640834260148</v>
      </c>
      <c r="P51" s="64">
        <f>ROUND((SVM_Table2[[#This Row],[3-Year TCO]]/(SVM_Table2[[#This Row],[Block Rate]]*SVM_Table2[[#This Row],[NSS-Tested Throughput (Mbps)]]))/SVM!$M$2,0)</f>
        <v>20</v>
      </c>
      <c r="Q51" s="65">
        <f>HLOOKUP(SVM_Table2[[#This Row],[Product]],Inputs_table6[#All],2,FALSE)</f>
        <v>1</v>
      </c>
      <c r="R51" s="66">
        <f>HLOOKUP(SVM_Table2[[#This Row],[Product]],Inputs_table6[#All],17,FALSE)</f>
        <v>1</v>
      </c>
      <c r="S51" s="399">
        <f>SVM_Table2[[#This Row],[Block Rate]]*SVM_Table2[[#This Row],[Evasions]]*SVM_Table2[[#This Row],[Stability &amp; Reliability]]</f>
        <v>0.86619640834260148</v>
      </c>
      <c r="T51" s="80">
        <f>ROUND((SVM_Table2[[#This Row],[3-Year TCO]]/(SVM_Table2[[#This Row],[Security Effectiveness]]*SVM_Table2[[#This Row],[NSS-Tested Throughput (Mbps)]]))/SVM!$M$2,0)</f>
        <v>20</v>
      </c>
    </row>
    <row r="52" spans="2:48">
      <c r="B52" s="133" t="s">
        <v>716</v>
      </c>
      <c r="C52" s="34">
        <v>3618300</v>
      </c>
      <c r="D52" s="35">
        <v>9168.2000000000007</v>
      </c>
      <c r="E52" s="36">
        <v>0.96755286090621706</v>
      </c>
      <c r="F52" s="37">
        <v>20</v>
      </c>
      <c r="G52" s="38">
        <v>1</v>
      </c>
      <c r="H52" s="38">
        <v>1</v>
      </c>
      <c r="I52" s="39">
        <v>0.96755286090621706</v>
      </c>
      <c r="J52" s="37">
        <v>20</v>
      </c>
      <c r="K52" s="27"/>
      <c r="L52" s="133" t="str">
        <f>Comb_scrd[[#Headers],[IBM Security Network Protection XGS 5100]]</f>
        <v>IBM Security Network Protection XGS 5100</v>
      </c>
      <c r="M52" s="61">
        <f>HLOOKUP(SVM_Table2[Product],Calc_results_table5[#All],4,FALSE)</f>
        <v>3618300</v>
      </c>
      <c r="N52" s="62">
        <f>VLOOKUP(SVM_Table2[[#This Row],[Product]],Perf_table1[#All],2,FALSE)</f>
        <v>9168.2000000000007</v>
      </c>
      <c r="O52" s="63">
        <f>VLOOKUP(SVM_Table2[[#This Row],[Product]],TCO_Calc_table4[#All],4,FALSE)</f>
        <v>0.96755286090621706</v>
      </c>
      <c r="P52" s="64">
        <f>ROUND((SVM_Table2[[#This Row],[3-Year TCO]]/(SVM_Table2[[#This Row],[Block Rate]]*SVM_Table2[[#This Row],[NSS-Tested Throughput (Mbps)]]))/SVM!$M$2,0)</f>
        <v>20</v>
      </c>
      <c r="Q52" s="65">
        <f>HLOOKUP(SVM_Table2[[#This Row],[Product]],Inputs_table6[#All],2,FALSE)</f>
        <v>1</v>
      </c>
      <c r="R52" s="66">
        <f>HLOOKUP(SVM_Table2[[#This Row],[Product]],Inputs_table6[#All],17,FALSE)</f>
        <v>1</v>
      </c>
      <c r="S52" s="399">
        <f>SVM_Table2[[#This Row],[Block Rate]]*SVM_Table2[[#This Row],[Evasions]]*SVM_Table2[[#This Row],[Stability &amp; Reliability]]</f>
        <v>0.96755286090621706</v>
      </c>
      <c r="T52" s="37">
        <f>ROUND((SVM_Table2[[#This Row],[3-Year TCO]]/(SVM_Table2[[#This Row],[Security Effectiveness]]*SVM_Table2[[#This Row],[NSS-Tested Throughput (Mbps)]]))/SVM!$M$2,0)</f>
        <v>20</v>
      </c>
    </row>
    <row r="53" spans="2:48">
      <c r="B53" s="133" t="s">
        <v>717</v>
      </c>
      <c r="C53" s="34">
        <v>9430940</v>
      </c>
      <c r="D53" s="35">
        <v>24194</v>
      </c>
      <c r="E53" s="36">
        <v>0.96755286090621706</v>
      </c>
      <c r="F53" s="37">
        <v>20</v>
      </c>
      <c r="G53" s="38">
        <v>1</v>
      </c>
      <c r="H53" s="38">
        <v>1</v>
      </c>
      <c r="I53" s="39">
        <v>0.96755286090621706</v>
      </c>
      <c r="J53" s="37">
        <v>20</v>
      </c>
      <c r="K53" s="27"/>
      <c r="L53" s="133" t="str">
        <f>Comb_scrd[[#Headers],[IBM Security Network Protection XGS 7100]]</f>
        <v>IBM Security Network Protection XGS 7100</v>
      </c>
      <c r="M53" s="61">
        <f>HLOOKUP(SVM_Table2[Product],Calc_results_table5[#All],4,FALSE)</f>
        <v>9430940</v>
      </c>
      <c r="N53" s="62">
        <f>VLOOKUP(SVM_Table2[[#This Row],[Product]],Perf_table1[#All],2,FALSE)</f>
        <v>24194</v>
      </c>
      <c r="O53" s="63">
        <f>VLOOKUP(SVM_Table2[[#This Row],[Product]],TCO_Calc_table4[#All],4,FALSE)</f>
        <v>0.96755286090621706</v>
      </c>
      <c r="P53" s="64">
        <f>ROUND((SVM_Table2[[#This Row],[3-Year TCO]]/(SVM_Table2[[#This Row],[Block Rate]]*SVM_Table2[[#This Row],[NSS-Tested Throughput (Mbps)]]))/SVM!$M$2,0)</f>
        <v>20</v>
      </c>
      <c r="Q53" s="65">
        <f>HLOOKUP(SVM_Table2[[#This Row],[Product]],Inputs_table6[#All],2,FALSE)</f>
        <v>1</v>
      </c>
      <c r="R53" s="66">
        <f>HLOOKUP(SVM_Table2[[#This Row],[Product]],Inputs_table6[#All],17,FALSE)</f>
        <v>1</v>
      </c>
      <c r="S53" s="399">
        <f>SVM_Table2[[#This Row],[Block Rate]]*SVM_Table2[[#This Row],[Evasions]]*SVM_Table2[[#This Row],[Stability &amp; Reliability]]</f>
        <v>0.96755286090621706</v>
      </c>
      <c r="T53" s="37">
        <f>ROUND((SVM_Table2[[#This Row],[3-Year TCO]]/(SVM_Table2[[#This Row],[Security Effectiveness]]*SVM_Table2[[#This Row],[NSS-Tested Throughput (Mbps)]]))/SVM!$M$2,0)</f>
        <v>20</v>
      </c>
    </row>
    <row r="54" spans="2:48">
      <c r="B54" s="133" t="s">
        <v>699</v>
      </c>
      <c r="C54" s="34">
        <v>1486297.9999999998</v>
      </c>
      <c r="D54" s="35">
        <v>2972.82</v>
      </c>
      <c r="E54" s="36">
        <v>0.987881981032666</v>
      </c>
      <c r="F54" s="37">
        <v>25</v>
      </c>
      <c r="G54" s="38">
        <v>1</v>
      </c>
      <c r="H54" s="38">
        <v>1</v>
      </c>
      <c r="I54" s="39">
        <v>0.987881981032666</v>
      </c>
      <c r="J54" s="37">
        <v>25</v>
      </c>
      <c r="L54" s="133" t="str">
        <f>Comb_scrd[[#Headers],[Palo Alto Networks PA-5020]]</f>
        <v>Palo Alto Networks PA-5020</v>
      </c>
      <c r="M54" s="61">
        <f>HLOOKUP(SVM_Table2[Product],Calc_results_table5[#All],4,FALSE)</f>
        <v>1486297.9999999998</v>
      </c>
      <c r="N54" s="62">
        <f>VLOOKUP(SVM_Table2[[#This Row],[Product]],Perf_table1[#All],2,FALSE)</f>
        <v>2972.82</v>
      </c>
      <c r="O54" s="63">
        <f>VLOOKUP(SVM_Table2[[#This Row],[Product]],TCO_Calc_table4[#All],4,FALSE)</f>
        <v>0.987881981032666</v>
      </c>
      <c r="P54" s="64">
        <f>ROUND((SVM_Table2[[#This Row],[3-Year TCO]]/(SVM_Table2[[#This Row],[Block Rate]]*SVM_Table2[[#This Row],[NSS-Tested Throughput (Mbps)]]))/SVM!$M$2,0)</f>
        <v>25</v>
      </c>
      <c r="Q54" s="65">
        <f>HLOOKUP(SVM_Table2[[#This Row],[Product]],Inputs_table6[#All],2,FALSE)</f>
        <v>1</v>
      </c>
      <c r="R54" s="66">
        <f>HLOOKUP(SVM_Table2[[#This Row],[Product]],Inputs_table6[#All],17,FALSE)</f>
        <v>1</v>
      </c>
      <c r="S54" s="399">
        <f>SVM_Table2[[#This Row],[Block Rate]]*SVM_Table2[[#This Row],[Evasions]]*SVM_Table2[[#This Row],[Stability &amp; Reliability]]</f>
        <v>0.987881981032666</v>
      </c>
      <c r="T54" s="37">
        <f>ROUND((SVM_Table2[[#This Row],[3-Year TCO]]/(SVM_Table2[[#This Row],[Security Effectiveness]]*SVM_Table2[[#This Row],[NSS-Tested Throughput (Mbps)]]))/SVM!$M$2,0)</f>
        <v>25</v>
      </c>
    </row>
    <row r="55" spans="2:48">
      <c r="K55" s="318"/>
      <c r="M55" s="15"/>
      <c r="N55" s="56"/>
      <c r="O55" s="55"/>
      <c r="P55" s="15"/>
      <c r="Q55" s="15"/>
      <c r="R55" s="54"/>
      <c r="S55" s="55"/>
      <c r="T55" s="15"/>
      <c r="U55" s="15"/>
      <c r="AV55" s="45"/>
    </row>
    <row r="56" spans="2:48">
      <c r="B56" s="40" t="s">
        <v>483</v>
      </c>
      <c r="C56" s="41">
        <v>0.96266225124784344</v>
      </c>
      <c r="D56" s="390">
        <v>20</v>
      </c>
      <c r="E56" s="42" t="s">
        <v>720</v>
      </c>
      <c r="F56" s="43" t="s">
        <v>484</v>
      </c>
      <c r="G56" s="41">
        <v>0.96266225124784344</v>
      </c>
      <c r="H56" s="390">
        <v>20</v>
      </c>
      <c r="I56" s="43" t="s">
        <v>721</v>
      </c>
      <c r="J56" s="44"/>
      <c r="K56" s="318"/>
      <c r="L56" s="67" t="s">
        <v>483</v>
      </c>
      <c r="M56" s="68">
        <f>IF(Inputs!$B$68="Y",SVM!C56,AVERAGE(SVM_Table2[Block Rate]))</f>
        <v>0.96266225124784344</v>
      </c>
      <c r="N56" s="69">
        <f>IF(Inputs!$B$68="Y",SVM!D56,AVERAGE(SVM_Table2[TCO PerProtected Mbps]))</f>
        <v>20</v>
      </c>
      <c r="O56" s="70" t="s">
        <v>720</v>
      </c>
      <c r="P56" s="71" t="s">
        <v>484</v>
      </c>
      <c r="Q56" s="72">
        <f>IF(Inputs!$B$68="Y",SVM!G56,AVERAGE(SVM_Table2[Security Effectiveness]))</f>
        <v>0.96266225124784344</v>
      </c>
      <c r="R56" s="69">
        <f>IF(Inputs!$B$68="Y",SVM!H56,AVERAGE(SVM_Table2[Overall TCO Per Protected Mbps]))</f>
        <v>20</v>
      </c>
      <c r="S56" s="71" t="s">
        <v>721</v>
      </c>
      <c r="T56" s="71"/>
      <c r="U56" s="73"/>
    </row>
    <row r="57" spans="2:48">
      <c r="B57" s="46" t="s">
        <v>140</v>
      </c>
      <c r="C57" s="47">
        <v>0</v>
      </c>
      <c r="D57" s="48">
        <v>0.8</v>
      </c>
      <c r="E57" s="49" t="s">
        <v>141</v>
      </c>
      <c r="F57" s="49" t="s">
        <v>697</v>
      </c>
      <c r="G57" s="50">
        <v>31.25</v>
      </c>
      <c r="H57" s="48">
        <v>1</v>
      </c>
      <c r="I57" s="49" t="s">
        <v>141</v>
      </c>
      <c r="J57" s="51"/>
      <c r="K57" s="15"/>
      <c r="L57" s="74" t="s">
        <v>140</v>
      </c>
      <c r="M57" s="75">
        <f>D46</f>
        <v>0</v>
      </c>
      <c r="N57" s="76">
        <v>0.8</v>
      </c>
      <c r="O57" s="77" t="s">
        <v>141</v>
      </c>
      <c r="P57" s="77" t="s">
        <v>142</v>
      </c>
      <c r="Q57" s="78">
        <f>MAX(SVM_Table2[Overall TCO Per Protected Mbps])*1.25</f>
        <v>31.25</v>
      </c>
      <c r="R57" s="76">
        <v>1</v>
      </c>
      <c r="S57" s="77" t="s">
        <v>141</v>
      </c>
      <c r="T57" s="77"/>
      <c r="U57" s="79"/>
    </row>
    <row r="58" spans="2:48">
      <c r="C58" s="15"/>
      <c r="D58" s="52"/>
      <c r="E58" s="53"/>
      <c r="F58" s="15"/>
      <c r="G58" s="15"/>
      <c r="H58" s="54"/>
      <c r="I58" s="55"/>
      <c r="J58" s="15"/>
    </row>
    <row r="61" spans="2:48">
      <c r="C61" s="45"/>
    </row>
  </sheetData>
  <sheetProtection algorithmName="SHA-512" hashValue="9UgOM1Fxl7vrNrlnVVuwKITfgiSUgz9JcBlXLwY2X4daI9q2VzjyrMtrRSir4z3bbhFOWy0gp826uwMQ4EeC+w==" saltValue="kML1hVy/FDNoDDeTgY98uw==" spinCount="100000" sheet="1" objects="1" scenarios="1"/>
  <sortState ref="M96:M100">
    <sortCondition ref="M96"/>
  </sortState>
  <phoneticPr fontId="11" type="noConversion"/>
  <conditionalFormatting sqref="J49:K50 K51:K53 J51:J54">
    <cfRule type="colorScale" priority="2768">
      <colorScale>
        <cfvo type="min"/>
        <cfvo type="percentile" val="50"/>
        <cfvo type="max"/>
        <color rgb="FF63BE7B"/>
        <color rgb="FFFCFCFF"/>
        <color rgb="FFF8696B"/>
      </colorScale>
    </cfRule>
  </conditionalFormatting>
  <conditionalFormatting sqref="P49:P54">
    <cfRule type="colorScale" priority="2774">
      <colorScale>
        <cfvo type="min"/>
        <cfvo type="percentile" val="50"/>
        <cfvo type="max"/>
        <color rgb="FF63BE7B"/>
        <color rgb="FFFCFCFF"/>
        <color rgb="FFF8696B"/>
      </colorScale>
    </cfRule>
  </conditionalFormatting>
  <conditionalFormatting sqref="T49:T54">
    <cfRule type="colorScale" priority="2776">
      <colorScale>
        <cfvo type="min"/>
        <cfvo type="percentile" val="50"/>
        <cfvo type="max"/>
        <color rgb="FF63BE7B"/>
        <color rgb="FFFCFCFF"/>
        <color rgb="FFF8696B"/>
      </colorScale>
    </cfRule>
  </conditionalFormatting>
  <conditionalFormatting sqref="F49:F54">
    <cfRule type="colorScale" priority="1">
      <colorScale>
        <cfvo type="min"/>
        <cfvo type="percentile" val="50"/>
        <cfvo type="max"/>
        <color rgb="FF63BE7B"/>
        <color rgb="FFFCFCFF"/>
        <color rgb="FFF8696B"/>
      </colorScale>
    </cfRule>
  </conditionalFormatting>
  <pageMargins left="0.7" right="0.7" top="0.75" bottom="0.75" header="0.3" footer="0.3"/>
  <pageSetup orientation="portrait" r:id="rId1"/>
  <drawing r:id="rId2"/>
  <tableParts count="2">
    <tablePart r:id="rId3"/>
    <tablePart r:id="rId4"/>
  </tablePart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P335"/>
  <sheetViews>
    <sheetView showGridLines="0" zoomScale="80" zoomScaleNormal="80" workbookViewId="0">
      <selection activeCell="A2" sqref="A2"/>
    </sheetView>
  </sheetViews>
  <sheetFormatPr defaultColWidth="10.85546875" defaultRowHeight="12"/>
  <cols>
    <col min="1" max="1" width="10.85546875" style="133"/>
    <col min="2" max="2" width="35.7109375" style="133" customWidth="1"/>
    <col min="3" max="3" width="25.42578125" style="133" customWidth="1"/>
    <col min="4" max="4" width="39.7109375" style="133" customWidth="1"/>
    <col min="5" max="5" width="27.140625" style="133" customWidth="1"/>
    <col min="6" max="7" width="31.85546875" style="133" customWidth="1"/>
    <col min="8" max="8" width="27.85546875" style="133" customWidth="1"/>
    <col min="9" max="9" width="18.85546875" style="133" customWidth="1"/>
    <col min="10" max="10" width="18.140625" style="133" customWidth="1"/>
    <col min="11" max="11" width="25.28515625" style="133" customWidth="1"/>
    <col min="12" max="12" width="16.42578125" style="133" customWidth="1"/>
    <col min="13" max="13" width="19.42578125" style="133" customWidth="1"/>
    <col min="14" max="14" width="16.7109375" style="133" customWidth="1"/>
    <col min="15" max="15" width="19.7109375" style="133" customWidth="1"/>
    <col min="16" max="16" width="20.28515625" style="133" customWidth="1"/>
    <col min="17" max="16384" width="10.85546875" style="133"/>
  </cols>
  <sheetData>
    <row r="1" spans="1:16">
      <c r="A1" s="131" t="s">
        <v>425</v>
      </c>
      <c r="B1" s="132" t="s">
        <v>386</v>
      </c>
    </row>
    <row r="2" spans="1:16" ht="15" customHeight="1">
      <c r="A2" s="131"/>
      <c r="B2" s="134" t="s">
        <v>74</v>
      </c>
      <c r="C2" s="135" t="s">
        <v>412</v>
      </c>
      <c r="D2" s="135" t="s">
        <v>170</v>
      </c>
      <c r="E2" s="135" t="s">
        <v>171</v>
      </c>
      <c r="F2" s="135" t="s">
        <v>172</v>
      </c>
      <c r="G2" s="135" t="s">
        <v>173</v>
      </c>
      <c r="H2" s="135" t="s">
        <v>174</v>
      </c>
      <c r="I2" s="135" t="s">
        <v>175</v>
      </c>
      <c r="J2" s="135" t="s">
        <v>176</v>
      </c>
      <c r="K2" s="135" t="s">
        <v>384</v>
      </c>
      <c r="L2" s="135" t="s">
        <v>411</v>
      </c>
      <c r="M2" s="394" t="s">
        <v>718</v>
      </c>
      <c r="N2" s="135" t="s">
        <v>385</v>
      </c>
    </row>
    <row r="3" spans="1:16">
      <c r="B3" s="133" t="str">
        <f>Comb_scrd[[#Headers],[Cisco FirePOWER 8350]]</f>
        <v>Cisco FirePOWER 8350</v>
      </c>
      <c r="C3" s="136">
        <v>1</v>
      </c>
      <c r="D3" s="136">
        <v>0.99479166666666663</v>
      </c>
      <c r="E3" s="136">
        <v>0.98947368421052628</v>
      </c>
      <c r="F3" s="136">
        <v>0.99610894941634243</v>
      </c>
      <c r="G3" s="136">
        <v>0.99680511182108622</v>
      </c>
      <c r="H3" s="136">
        <v>1</v>
      </c>
      <c r="I3" s="136">
        <v>0.9939393939393939</v>
      </c>
      <c r="J3" s="136">
        <v>1</v>
      </c>
      <c r="K3" s="136">
        <v>0.99509803921568629</v>
      </c>
      <c r="L3" s="136">
        <v>0.98701298701298701</v>
      </c>
      <c r="M3" s="136">
        <v>1</v>
      </c>
      <c r="N3" s="136">
        <v>0.99525816649104315</v>
      </c>
    </row>
    <row r="4" spans="1:16">
      <c r="B4" s="133" t="str">
        <f>Comb_scrd[[#Headers],[Fortinet FortiGate-1500D]]</f>
        <v>Fortinet FortiGate-1500D</v>
      </c>
      <c r="C4" s="137">
        <v>1</v>
      </c>
      <c r="D4" s="137">
        <v>1</v>
      </c>
      <c r="E4" s="137">
        <v>1</v>
      </c>
      <c r="F4" s="137">
        <v>0.99221789883268485</v>
      </c>
      <c r="G4" s="137">
        <v>1</v>
      </c>
      <c r="H4" s="137">
        <v>1</v>
      </c>
      <c r="I4" s="137">
        <v>0.99696969696969695</v>
      </c>
      <c r="J4" s="137">
        <v>1</v>
      </c>
      <c r="K4" s="137">
        <v>0.99509803921568629</v>
      </c>
      <c r="L4" s="137">
        <v>1</v>
      </c>
      <c r="M4" s="137">
        <v>1</v>
      </c>
      <c r="N4" s="137">
        <v>0.99789251844046367</v>
      </c>
    </row>
    <row r="5" spans="1:16">
      <c r="B5" s="133" t="str">
        <f>Comb_scrd[[#Headers],[HP TippingPoint S7500NX]]</f>
        <v>HP TippingPoint S7500NX</v>
      </c>
      <c r="C5" s="376">
        <v>0.93333333333333335</v>
      </c>
      <c r="D5" s="376">
        <v>0.98958333333333337</v>
      </c>
      <c r="E5" s="376">
        <v>0.98421052631578942</v>
      </c>
      <c r="F5" s="376">
        <v>0.99221789883268485</v>
      </c>
      <c r="G5" s="376">
        <v>0.98402555910543132</v>
      </c>
      <c r="H5" s="376">
        <v>0.97837837837837838</v>
      </c>
      <c r="I5" s="376">
        <v>0.98181818181818181</v>
      </c>
      <c r="J5" s="376">
        <v>0.97457627118644063</v>
      </c>
      <c r="K5" s="376">
        <v>0.99509803921568629</v>
      </c>
      <c r="L5" s="376">
        <v>0.98701298701298701</v>
      </c>
      <c r="M5" s="376">
        <v>1</v>
      </c>
      <c r="N5" s="376">
        <v>0.98524762908324548</v>
      </c>
    </row>
    <row r="6" spans="1:16">
      <c r="B6" s="133" t="str">
        <f>Comb_scrd[[#Headers],[IBM Security Network Protection XGS 5100]]</f>
        <v>IBM Security Network Protection XGS 5100</v>
      </c>
      <c r="C6" s="137">
        <v>1</v>
      </c>
      <c r="D6" s="137">
        <v>0.99479166666666663</v>
      </c>
      <c r="E6" s="137">
        <v>1</v>
      </c>
      <c r="F6" s="137">
        <v>0.99610894941634243</v>
      </c>
      <c r="G6" s="137">
        <v>1</v>
      </c>
      <c r="H6" s="137">
        <v>0.98378378378378384</v>
      </c>
      <c r="I6" s="137">
        <v>0.97575757575757571</v>
      </c>
      <c r="J6" s="137">
        <v>0.9576271186440678</v>
      </c>
      <c r="K6" s="137">
        <v>0.98529411764705888</v>
      </c>
      <c r="L6" s="137">
        <v>1</v>
      </c>
      <c r="M6" s="137">
        <v>1</v>
      </c>
      <c r="N6" s="137">
        <v>0.98893572181243417</v>
      </c>
    </row>
    <row r="7" spans="1:16">
      <c r="B7" s="133" t="str">
        <f>Comb_scrd[[#Headers],[IBM Security Network Protection XGS 7100]]</f>
        <v>IBM Security Network Protection XGS 7100</v>
      </c>
      <c r="C7" s="137">
        <v>1</v>
      </c>
      <c r="D7" s="137">
        <v>0.99479166666666663</v>
      </c>
      <c r="E7" s="137">
        <v>1</v>
      </c>
      <c r="F7" s="137">
        <v>0.99610894941634243</v>
      </c>
      <c r="G7" s="137">
        <v>1</v>
      </c>
      <c r="H7" s="137">
        <v>0.98378378378378384</v>
      </c>
      <c r="I7" s="137">
        <v>0.97575757575757571</v>
      </c>
      <c r="J7" s="137">
        <v>0.9576271186440678</v>
      </c>
      <c r="K7" s="137">
        <v>0.98529411764705888</v>
      </c>
      <c r="L7" s="137">
        <v>1</v>
      </c>
      <c r="M7" s="137">
        <v>1</v>
      </c>
      <c r="N7" s="137">
        <v>0.98893572181243417</v>
      </c>
    </row>
    <row r="8" spans="1:16">
      <c r="B8" s="133" t="str">
        <f>Comb_scrd[[#Headers],[Palo Alto Networks PA-5020]]</f>
        <v>Palo Alto Networks PA-5020</v>
      </c>
      <c r="C8" s="137">
        <v>1</v>
      </c>
      <c r="D8" s="137">
        <v>0.99479166666666663</v>
      </c>
      <c r="E8" s="137">
        <v>0.99473684210526314</v>
      </c>
      <c r="F8" s="137">
        <v>0.99221789883268485</v>
      </c>
      <c r="G8" s="137">
        <v>0.98402555910543132</v>
      </c>
      <c r="H8" s="137">
        <v>0.96216216216216222</v>
      </c>
      <c r="I8" s="137">
        <v>0.97272727272727277</v>
      </c>
      <c r="J8" s="137">
        <v>0.94915254237288138</v>
      </c>
      <c r="K8" s="137">
        <v>0.94117647058823528</v>
      </c>
      <c r="L8" s="137">
        <v>0.96103896103896103</v>
      </c>
      <c r="M8" s="137">
        <v>1</v>
      </c>
      <c r="N8" s="137">
        <v>0.97576396206533189</v>
      </c>
    </row>
    <row r="9" spans="1:16">
      <c r="H9" s="131"/>
    </row>
    <row r="11" spans="1:16">
      <c r="A11" s="131" t="s">
        <v>426</v>
      </c>
      <c r="B11" s="132" t="s">
        <v>177</v>
      </c>
      <c r="P11" s="131"/>
    </row>
    <row r="12" spans="1:16">
      <c r="B12" s="134" t="s">
        <v>74</v>
      </c>
      <c r="C12" s="135" t="s">
        <v>178</v>
      </c>
      <c r="D12" s="135" t="s">
        <v>179</v>
      </c>
      <c r="E12" s="135" t="s">
        <v>180</v>
      </c>
    </row>
    <row r="13" spans="1:16">
      <c r="B13" s="133" t="str">
        <f>Comb_scrd[[#Headers],[Cisco FirePOWER 8350]]</f>
        <v>Cisco FirePOWER 8350</v>
      </c>
      <c r="C13" s="136">
        <f>HLOOKUP(IPS_security_table2[[#This Row],[Product]],Comb_scrd[#All],7,FALSE)</f>
        <v>0.99546998867497172</v>
      </c>
      <c r="D13" s="136">
        <f>HLOOKUP(IPS_security_table2[[#This Row],[Product]],Comb_scrd[#All],8,FALSE)</f>
        <v>0.99507389162561577</v>
      </c>
      <c r="E13" s="136">
        <f>HLOOKUP(IPS_security_table2[[#This Row],[Product]],Comb_scrd[#All],9,FALSE)</f>
        <v>0.99525816649104315</v>
      </c>
    </row>
    <row r="14" spans="1:16">
      <c r="B14" s="133" t="str">
        <f>Comb_scrd[[#Headers],[Fortinet FortiGate-1500D]]</f>
        <v>Fortinet FortiGate-1500D</v>
      </c>
      <c r="C14" s="137">
        <f>HLOOKUP(IPS_security_table2[[#This Row],[Product]],Comb_scrd[#All],7,FALSE)</f>
        <v>0.9977349943374858</v>
      </c>
      <c r="D14" s="137">
        <f>HLOOKUP(IPS_security_table2[[#This Row],[Product]],Comb_scrd[#All],8,FALSE)</f>
        <v>0.99802955665024629</v>
      </c>
      <c r="E14" s="137">
        <f>HLOOKUP(IPS_security_table2[[#This Row],[Product]],Comb_scrd[#All],9,FALSE)</f>
        <v>0.99789251844046367</v>
      </c>
    </row>
    <row r="15" spans="1:16">
      <c r="B15" s="133" t="str">
        <f>Comb_scrd[[#Headers],[HP TippingPoint S7500NX]]</f>
        <v>HP TippingPoint S7500NX</v>
      </c>
      <c r="C15" s="137">
        <f>HLOOKUP(IPS_security_table2[[#This Row],[Product]],Comb_scrd[#All],7,FALSE)</f>
        <v>0.97961494903737256</v>
      </c>
      <c r="D15" s="137">
        <f>HLOOKUP(IPS_security_table2[[#This Row],[Product]],Comb_scrd[#All],8,FALSE)</f>
        <v>0.99014778325123154</v>
      </c>
      <c r="E15" s="137">
        <f>HLOOKUP(IPS_security_table2[[#This Row],[Product]],Comb_scrd[#All],9,FALSE)</f>
        <v>0.98524762908324548</v>
      </c>
    </row>
    <row r="16" spans="1:16">
      <c r="B16" s="133" t="str">
        <f>Comb_scrd[[#Headers],[IBM Security Network Protection XGS 5100]]</f>
        <v>IBM Security Network Protection XGS 5100</v>
      </c>
      <c r="C16" s="137">
        <f>HLOOKUP(IPS_security_table2[[#This Row],[Product]],Comb_scrd[#All],7,FALSE)</f>
        <v>0.99320498301245752</v>
      </c>
      <c r="D16" s="137">
        <f>HLOOKUP(IPS_security_table2[[#This Row],[Product]],Comb_scrd[#All],8,FALSE)</f>
        <v>0.98522167487684731</v>
      </c>
      <c r="E16" s="137">
        <f>HLOOKUP(IPS_security_table2[[#This Row],[Product]],Comb_scrd[#All],9,FALSE)</f>
        <v>0.98893572181243417</v>
      </c>
    </row>
    <row r="17" spans="1:5">
      <c r="B17" s="133" t="str">
        <f>Comb_scrd[[#Headers],[IBM Security Network Protection XGS 7100]]</f>
        <v>IBM Security Network Protection XGS 7100</v>
      </c>
      <c r="C17" s="137">
        <f>HLOOKUP(IPS_security_table2[[#This Row],[Product]],Comb_scrd[#All],7,FALSE)</f>
        <v>0.99320498301245752</v>
      </c>
      <c r="D17" s="137">
        <f>HLOOKUP(IPS_security_table2[[#This Row],[Product]],Comb_scrd[#All],8,FALSE)</f>
        <v>0.98522167487684731</v>
      </c>
      <c r="E17" s="137">
        <f>HLOOKUP(IPS_security_table2[[#This Row],[Product]],Comb_scrd[#All],9,FALSE)</f>
        <v>0.98893572181243417</v>
      </c>
    </row>
    <row r="18" spans="1:5">
      <c r="B18" s="133" t="str">
        <f>Comb_scrd[[#Headers],[Palo Alto Networks PA-5020]]</f>
        <v>Palo Alto Networks PA-5020</v>
      </c>
      <c r="C18" s="137">
        <f>HLOOKUP(IPS_security_table2[[#This Row],[Product]],Comb_scrd[#All],7,FALSE)</f>
        <v>0.96375990939977352</v>
      </c>
      <c r="D18" s="137">
        <f>HLOOKUP(IPS_security_table2[[#This Row],[Product]],Comb_scrd[#All],8,FALSE)</f>
        <v>0.98620689655172411</v>
      </c>
      <c r="E18" s="137">
        <f>HLOOKUP(IPS_security_table2[[#This Row],[Product]],Comb_scrd[#All],9,FALSE)</f>
        <v>0.97576396206533189</v>
      </c>
    </row>
    <row r="19" spans="1:5">
      <c r="E19" s="138"/>
    </row>
    <row r="21" spans="1:5">
      <c r="A21" s="139" t="s">
        <v>427</v>
      </c>
      <c r="B21" s="132" t="s">
        <v>399</v>
      </c>
      <c r="C21" s="132"/>
      <c r="D21" s="132"/>
      <c r="E21" s="140"/>
    </row>
    <row r="22" spans="1:5">
      <c r="B22" s="134" t="s">
        <v>74</v>
      </c>
      <c r="C22" s="135" t="s">
        <v>400</v>
      </c>
      <c r="D22" s="135" t="s">
        <v>401</v>
      </c>
      <c r="E22" s="135" t="s">
        <v>402</v>
      </c>
    </row>
    <row r="23" spans="1:5">
      <c r="B23" s="133" t="str">
        <f>Comb_scrd[[#Headers],[Cisco FirePOWER 8350]]</f>
        <v>Cisco FirePOWER 8350</v>
      </c>
      <c r="C23" s="136">
        <f>(1-VLOOKUP(IPS_security_table3[[#This Row],[Product]],IPS_security_table6[#All],2,FALSE))*VLOOKUP(IPS_security_table3[[#This Row],[Product]],IPS_security_table2[#All],2,FALSE)</f>
        <v>0.99546998867497172</v>
      </c>
      <c r="D23" s="136">
        <f>(1-VLOOKUP(IPS_security_table3[[#This Row],[Product]],IPS_security_table7[#All],2,FALSE))*VLOOKUP(IPS_security_table3[[#This Row],[Product]],IPS_security_table2[#All],3,FALSE)</f>
        <v>0.99507389162561577</v>
      </c>
      <c r="E23" s="136">
        <f>(1-VLOOKUP(IPS_security_table3[[#This Row],[Product]],IPS_security_table5[#All],2,FALSE))*VLOOKUP(IPS_security_table3[[#This Row],[Product]],IPS_security_table2[#All],4,FALSE)</f>
        <v>0.99525816649104315</v>
      </c>
    </row>
    <row r="24" spans="1:5">
      <c r="B24" s="133" t="str">
        <f>Comb_scrd[[#Headers],[Fortinet FortiGate-1500D]]</f>
        <v>Fortinet FortiGate-1500D</v>
      </c>
      <c r="C24" s="136">
        <f>(1-VLOOKUP(IPS_security_table3[[#This Row],[Product]],IPS_security_table6[#All],2,FALSE))*VLOOKUP(IPS_security_table3[[#This Row],[Product]],IPS_security_table2[#All],2,FALSE)</f>
        <v>0.9977349943374858</v>
      </c>
      <c r="D24" s="136">
        <f>(1-VLOOKUP(IPS_security_table3[[#This Row],[Product]],IPS_security_table7[#All],2,FALSE))*VLOOKUP(IPS_security_table3[[#This Row],[Product]],IPS_security_table2[#All],3,FALSE)</f>
        <v>0.99802955665024629</v>
      </c>
      <c r="E24" s="136">
        <f>(1-VLOOKUP(IPS_security_table3[[#This Row],[Product]],IPS_security_table5[#All],2,FALSE))*VLOOKUP(IPS_security_table3[[#This Row],[Product]],IPS_security_table2[#All],4,FALSE)</f>
        <v>0.99789251844046367</v>
      </c>
    </row>
    <row r="25" spans="1:5">
      <c r="B25" s="133" t="str">
        <f>Comb_scrd[[#Headers],[HP TippingPoint S7500NX]]</f>
        <v>HP TippingPoint S7500NX</v>
      </c>
      <c r="C25" s="137">
        <f>(1-VLOOKUP(IPS_security_table3[[#This Row],[Product]],IPS_security_table6[#All],2,FALSE))*VLOOKUP(IPS_security_table3[[#This Row],[Product]],IPS_security_table2[#All],2,FALSE)</f>
        <v>0.97961494903737256</v>
      </c>
      <c r="D25" s="137">
        <f>(1-VLOOKUP(IPS_security_table3[[#This Row],[Product]],IPS_security_table7[#All],2,FALSE))*VLOOKUP(IPS_security_table3[[#This Row],[Product]],IPS_security_table2[#All],3,FALSE)</f>
        <v>0.99014778325123154</v>
      </c>
      <c r="E25" s="137">
        <f>(1-VLOOKUP(IPS_security_table3[[#This Row],[Product]],IPS_security_table5[#All],2,FALSE))*VLOOKUP(IPS_security_table3[[#This Row],[Product]],IPS_security_table2[#All],4,FALSE)</f>
        <v>0.98524762908324548</v>
      </c>
    </row>
    <row r="26" spans="1:5">
      <c r="B26" s="133" t="str">
        <f>Comb_scrd[[#Headers],[IBM Security Network Protection XGS 5100]]</f>
        <v>IBM Security Network Protection XGS 5100</v>
      </c>
      <c r="C26" s="137">
        <f>(1-VLOOKUP(IPS_security_table3[[#This Row],[Product]],IPS_security_table6[#All],2,FALSE))*VLOOKUP(IPS_security_table3[[#This Row],[Product]],IPS_security_table2[#All],2,FALSE)</f>
        <v>0.99320498301245752</v>
      </c>
      <c r="D26" s="137">
        <f>(1-VLOOKUP(IPS_security_table3[[#This Row],[Product]],IPS_security_table7[#All],2,FALSE))*VLOOKUP(IPS_security_table3[[#This Row],[Product]],IPS_security_table2[#All],3,FALSE)</f>
        <v>0.98522167487684731</v>
      </c>
      <c r="E26" s="137">
        <f>(1-VLOOKUP(IPS_security_table3[[#This Row],[Product]],IPS_security_table5[#All],2,FALSE))*VLOOKUP(IPS_security_table3[[#This Row],[Product]],IPS_security_table2[#All],4,FALSE)</f>
        <v>0.98893572181243417</v>
      </c>
    </row>
    <row r="27" spans="1:5">
      <c r="B27" s="133" t="str">
        <f>Comb_scrd[[#Headers],[IBM Security Network Protection XGS 7100]]</f>
        <v>IBM Security Network Protection XGS 7100</v>
      </c>
      <c r="C27" s="137">
        <f>(1-VLOOKUP(IPS_security_table3[[#This Row],[Product]],IPS_security_table6[#All],2,FALSE))*VLOOKUP(IPS_security_table3[[#This Row],[Product]],IPS_security_table2[#All],2,FALSE)</f>
        <v>0.99320498301245752</v>
      </c>
      <c r="D27" s="137">
        <f>(1-VLOOKUP(IPS_security_table3[[#This Row],[Product]],IPS_security_table7[#All],2,FALSE))*VLOOKUP(IPS_security_table3[[#This Row],[Product]],IPS_security_table2[#All],3,FALSE)</f>
        <v>0.98522167487684731</v>
      </c>
      <c r="E27" s="137">
        <f>(1-VLOOKUP(IPS_security_table3[[#This Row],[Product]],IPS_security_table5[#All],2,FALSE))*VLOOKUP(IPS_security_table3[[#This Row],[Product]],IPS_security_table2[#All],4,FALSE)</f>
        <v>0.98893572181243417</v>
      </c>
    </row>
    <row r="28" spans="1:5">
      <c r="B28" s="133" t="str">
        <f>Comb_scrd[[#Headers],[Palo Alto Networks PA-5020]]</f>
        <v>Palo Alto Networks PA-5020</v>
      </c>
      <c r="C28" s="137">
        <f>(1-VLOOKUP(IPS_security_table3[[#This Row],[Product]],IPS_security_table6[#All],2,FALSE))*VLOOKUP(IPS_security_table3[[#This Row],[Product]],IPS_security_table2[#All],2,FALSE)</f>
        <v>0.96375990939977352</v>
      </c>
      <c r="D28" s="137">
        <f>(1-VLOOKUP(IPS_security_table3[[#This Row],[Product]],IPS_security_table7[#All],2,FALSE))*VLOOKUP(IPS_security_table3[[#This Row],[Product]],IPS_security_table2[#All],3,FALSE)</f>
        <v>0.98620689655172411</v>
      </c>
      <c r="E28" s="137">
        <f>(1-VLOOKUP(IPS_security_table3[[#This Row],[Product]],IPS_security_table5[#All],2,FALSE))*VLOOKUP(IPS_security_table3[[#This Row],[Product]],IPS_security_table2[#All],4,FALSE)</f>
        <v>0.97576396206533189</v>
      </c>
    </row>
    <row r="29" spans="1:5">
      <c r="B29" s="140"/>
      <c r="C29" s="140"/>
      <c r="D29" s="141"/>
      <c r="E29" s="140"/>
    </row>
    <row r="30" spans="1:5">
      <c r="A30" s="139" t="s">
        <v>428</v>
      </c>
      <c r="B30" s="134" t="s">
        <v>74</v>
      </c>
      <c r="C30" s="135" t="s">
        <v>181</v>
      </c>
      <c r="D30" s="135" t="s">
        <v>182</v>
      </c>
      <c r="E30" s="135" t="s">
        <v>183</v>
      </c>
    </row>
    <row r="31" spans="1:5">
      <c r="B31" s="133" t="str">
        <f>Comb_scrd[[#Headers],[Cisco FirePOWER 8350]]</f>
        <v>Cisco FirePOWER 8350</v>
      </c>
      <c r="C31" s="136">
        <f>VLOOKUP(IPS_security_table4[[#This Row],[Product]],IPS_security_table3[#All],2,FALSE)-VLOOKUP(IPS_security_table4[[#This Row],[Product]],IPS_security_table2[#All],2,FALSE)</f>
        <v>0</v>
      </c>
      <c r="D31" s="136">
        <f>VLOOKUP(IPS_security_table4[[#This Row],[Product]],IPS_security_table3[#All],3,FALSE)-VLOOKUP(IPS_security_table4[[#This Row],[Product]],IPS_security_table2[#All],3,FALSE)</f>
        <v>0</v>
      </c>
      <c r="E31" s="136">
        <f>VLOOKUP(IPS_security_table4[[#This Row],[Product]],IPS_security_table3[#All],4,FALSE)-VLOOKUP(IPS_security_table4[[#This Row],[Product]],IPS_security_table2[#All],4,FALSE)</f>
        <v>0</v>
      </c>
    </row>
    <row r="32" spans="1:5">
      <c r="B32" s="133" t="str">
        <f>Comb_scrd[[#Headers],[Fortinet FortiGate-1500D]]</f>
        <v>Fortinet FortiGate-1500D</v>
      </c>
      <c r="C32" s="136">
        <f>VLOOKUP(IPS_security_table4[[#This Row],[Product]],IPS_security_table3[#All],2,FALSE)-VLOOKUP(IPS_security_table4[[#This Row],[Product]],IPS_security_table2[#All],2,FALSE)</f>
        <v>0</v>
      </c>
      <c r="D32" s="136">
        <f>VLOOKUP(IPS_security_table4[[#This Row],[Product]],IPS_security_table3[#All],3,FALSE)-VLOOKUP(IPS_security_table4[[#This Row],[Product]],IPS_security_table2[#All],3,FALSE)</f>
        <v>0</v>
      </c>
      <c r="E32" s="136">
        <f>VLOOKUP(IPS_security_table4[[#This Row],[Product]],IPS_security_table3[#All],4,FALSE)-VLOOKUP(IPS_security_table4[[#This Row],[Product]],IPS_security_table2[#All],4,FALSE)</f>
        <v>0</v>
      </c>
    </row>
    <row r="33" spans="1:16">
      <c r="B33" s="133" t="str">
        <f>Comb_scrd[[#Headers],[HP TippingPoint S7500NX]]</f>
        <v>HP TippingPoint S7500NX</v>
      </c>
      <c r="C33" s="136">
        <f>VLOOKUP(IPS_security_table4[[#This Row],[Product]],IPS_security_table3[#All],2,FALSE)-VLOOKUP(IPS_security_table4[[#This Row],[Product]],IPS_security_table2[#All],2,FALSE)</f>
        <v>0</v>
      </c>
      <c r="D33" s="136">
        <f>VLOOKUP(IPS_security_table4[[#This Row],[Product]],IPS_security_table3[#All],3,FALSE)-VLOOKUP(IPS_security_table4[[#This Row],[Product]],IPS_security_table2[#All],3,FALSE)</f>
        <v>0</v>
      </c>
      <c r="E33" s="136">
        <f>VLOOKUP(IPS_security_table4[[#This Row],[Product]],IPS_security_table3[#All],4,FALSE)-VLOOKUP(IPS_security_table4[[#This Row],[Product]],IPS_security_table2[#All],4,FALSE)</f>
        <v>0</v>
      </c>
    </row>
    <row r="34" spans="1:16">
      <c r="B34" s="133" t="str">
        <f>Comb_scrd[[#Headers],[IBM Security Network Protection XGS 5100]]</f>
        <v>IBM Security Network Protection XGS 5100</v>
      </c>
      <c r="C34" s="136">
        <f>VLOOKUP(IPS_security_table4[[#This Row],[Product]],IPS_security_table3[#All],2,FALSE)-VLOOKUP(IPS_security_table4[[#This Row],[Product]],IPS_security_table2[#All],2,FALSE)</f>
        <v>0</v>
      </c>
      <c r="D34" s="136">
        <f>VLOOKUP(IPS_security_table4[[#This Row],[Product]],IPS_security_table3[#All],3,FALSE)-VLOOKUP(IPS_security_table4[[#This Row],[Product]],IPS_security_table2[#All],3,FALSE)</f>
        <v>0</v>
      </c>
      <c r="E34" s="136">
        <f>VLOOKUP(IPS_security_table4[[#This Row],[Product]],IPS_security_table3[#All],4,FALSE)-VLOOKUP(IPS_security_table4[[#This Row],[Product]],IPS_security_table2[#All],4,FALSE)</f>
        <v>0</v>
      </c>
    </row>
    <row r="35" spans="1:16">
      <c r="B35" s="133" t="str">
        <f>Comb_scrd[[#Headers],[IBM Security Network Protection XGS 7100]]</f>
        <v>IBM Security Network Protection XGS 7100</v>
      </c>
      <c r="C35" s="136">
        <f>VLOOKUP(IPS_security_table4[[#This Row],[Product]],IPS_security_table3[#All],2,FALSE)-VLOOKUP(IPS_security_table4[[#This Row],[Product]],IPS_security_table2[#All],2,FALSE)</f>
        <v>0</v>
      </c>
      <c r="D35" s="136">
        <f>VLOOKUP(IPS_security_table4[[#This Row],[Product]],IPS_security_table3[#All],3,FALSE)-VLOOKUP(IPS_security_table4[[#This Row],[Product]],IPS_security_table2[#All],3,FALSE)</f>
        <v>0</v>
      </c>
      <c r="E35" s="136">
        <f>VLOOKUP(IPS_security_table4[[#This Row],[Product]],IPS_security_table3[#All],4,FALSE)-VLOOKUP(IPS_security_table4[[#This Row],[Product]],IPS_security_table2[#All],4,FALSE)</f>
        <v>0</v>
      </c>
    </row>
    <row r="36" spans="1:16">
      <c r="B36" s="133" t="str">
        <f>Comb_scrd[[#Headers],[Palo Alto Networks PA-5020]]</f>
        <v>Palo Alto Networks PA-5020</v>
      </c>
      <c r="C36" s="136">
        <f>VLOOKUP(IPS_security_table4[[#This Row],[Product]],IPS_security_table3[#All],2,FALSE)-VLOOKUP(IPS_security_table4[[#This Row],[Product]],IPS_security_table2[#All],2,FALSE)</f>
        <v>0</v>
      </c>
      <c r="D36" s="136">
        <f>VLOOKUP(IPS_security_table4[[#This Row],[Product]],IPS_security_table3[#All],3,FALSE)-VLOOKUP(IPS_security_table4[[#This Row],[Product]],IPS_security_table2[#All],3,FALSE)</f>
        <v>0</v>
      </c>
      <c r="E36" s="136">
        <f>VLOOKUP(IPS_security_table4[[#This Row],[Product]],IPS_security_table3[#All],4,FALSE)-VLOOKUP(IPS_security_table4[[#This Row],[Product]],IPS_security_table2[#All],4,FALSE)</f>
        <v>0</v>
      </c>
    </row>
    <row r="39" spans="1:16">
      <c r="A39" s="139" t="s">
        <v>429</v>
      </c>
      <c r="B39" s="132" t="s">
        <v>383</v>
      </c>
    </row>
    <row r="40" spans="1:16" ht="24">
      <c r="B40" s="134" t="s">
        <v>74</v>
      </c>
      <c r="C40" s="135" t="s">
        <v>184</v>
      </c>
      <c r="D40" s="135" t="s">
        <v>185</v>
      </c>
      <c r="E40" s="135" t="s">
        <v>186</v>
      </c>
      <c r="F40" s="135" t="s">
        <v>187</v>
      </c>
      <c r="G40" s="135" t="s">
        <v>188</v>
      </c>
      <c r="H40" s="135" t="s">
        <v>189</v>
      </c>
      <c r="I40" s="135" t="s">
        <v>190</v>
      </c>
      <c r="J40" s="135" t="s">
        <v>191</v>
      </c>
      <c r="K40" s="135" t="s">
        <v>192</v>
      </c>
      <c r="L40" s="135" t="s">
        <v>193</v>
      </c>
      <c r="M40" s="135" t="s">
        <v>194</v>
      </c>
      <c r="N40" s="135" t="s">
        <v>195</v>
      </c>
      <c r="O40" s="135" t="s">
        <v>196</v>
      </c>
      <c r="P40" s="135" t="s">
        <v>133</v>
      </c>
    </row>
    <row r="41" spans="1:16">
      <c r="B41" s="133" t="str">
        <f>Comb_scrd[[#Headers],[Cisco FirePOWER 8350]]</f>
        <v>Cisco FirePOWER 8350</v>
      </c>
      <c r="C41" s="136">
        <f>SUM(IPS_security_table5[[#This Row],[IP Packet Fragmentation]:[TCP Segmentation + SMB / NETBIOS Evasions]])</f>
        <v>0</v>
      </c>
      <c r="D41" s="136">
        <f>HLOOKUP(IPS_security_table5[[#This Row],[Product]],Inputs_table6[#All],3,FALSE)</f>
        <v>0</v>
      </c>
      <c r="E41" s="136">
        <f>HLOOKUP(IPS_security_table5[[#This Row],[Product]],Inputs_table6[#All],4,FALSE)</f>
        <v>0</v>
      </c>
      <c r="F41" s="136">
        <f>HLOOKUP(IPS_security_table5[[#This Row],[Product]],Inputs_table6[#All],5,FALSE)</f>
        <v>0</v>
      </c>
      <c r="G41" s="136">
        <f>HLOOKUP(IPS_security_table5[[#This Row],[Product]],Inputs_table6[#All],6,FALSE)</f>
        <v>0</v>
      </c>
      <c r="H41" s="136">
        <f>HLOOKUP(IPS_security_table5[[#This Row],[Product]],Inputs_table6[#All],7,FALSE)</f>
        <v>0</v>
      </c>
      <c r="I41" s="136">
        <f>HLOOKUP(IPS_security_table5[[#This Row],[Product]],Inputs_table6[#All],8,FALSE)</f>
        <v>0</v>
      </c>
      <c r="J41" s="136">
        <f>HLOOKUP(IPS_security_table5[[#This Row],[Product]],Inputs_table6[#All],9,FALSE)</f>
        <v>0</v>
      </c>
      <c r="K41" s="136">
        <f>HLOOKUP(IPS_security_table5[[#This Row],[Product]],Inputs_table6[#All],10,FALSE)</f>
        <v>0</v>
      </c>
      <c r="L41" s="136">
        <f>HLOOKUP(IPS_security_table5[[#This Row],[Product]],Inputs_table6[#All],12,FALSE)</f>
        <v>0</v>
      </c>
      <c r="M41" s="136">
        <f>HLOOKUP(IPS_security_table5[[#This Row],[Product]],Inputs_table6[#All],13,FALSE)</f>
        <v>0</v>
      </c>
      <c r="N41" s="136">
        <f>HLOOKUP(IPS_security_table5[[#This Row],[Product]],Inputs_table6[#All],14,FALSE)</f>
        <v>0</v>
      </c>
      <c r="O41" s="136">
        <f>HLOOKUP(IPS_security_table5[[#This Row],[Product]],Inputs_table6[#All],15,FALSE)</f>
        <v>0</v>
      </c>
      <c r="P41" s="136">
        <f>HLOOKUP(IPS_security_table5[[#This Row],[Product]],Inputs_table6[#All],16,FALSE)</f>
        <v>0</v>
      </c>
    </row>
    <row r="42" spans="1:16">
      <c r="B42" s="133" t="str">
        <f>Comb_scrd[[#Headers],[Fortinet FortiGate-1500D]]</f>
        <v>Fortinet FortiGate-1500D</v>
      </c>
      <c r="C42" s="142">
        <f>SUM(IPS_security_table5[[#This Row],[IP Packet Fragmentation]:[TCP Segmentation + SMB / NETBIOS Evasions]])</f>
        <v>0</v>
      </c>
      <c r="D42" s="142">
        <f>HLOOKUP(IPS_security_table5[[#This Row],[Product]],Inputs_table6[#All],3,FALSE)</f>
        <v>0</v>
      </c>
      <c r="E42" s="142">
        <f>HLOOKUP(IPS_security_table5[[#This Row],[Product]],Inputs_table6[#All],4,FALSE)</f>
        <v>0</v>
      </c>
      <c r="F42" s="142">
        <f>HLOOKUP(IPS_security_table5[[#This Row],[Product]],Inputs_table6[#All],5,FALSE)</f>
        <v>0</v>
      </c>
      <c r="G42" s="142">
        <f>HLOOKUP(IPS_security_table5[[#This Row],[Product]],Inputs_table6[#All],6,FALSE)</f>
        <v>0</v>
      </c>
      <c r="H42" s="142">
        <f>HLOOKUP(IPS_security_table5[[#This Row],[Product]],Inputs_table6[#All],7,FALSE)</f>
        <v>0</v>
      </c>
      <c r="I42" s="142">
        <f>HLOOKUP(IPS_security_table5[[#This Row],[Product]],Inputs_table6[#All],8,FALSE)</f>
        <v>0</v>
      </c>
      <c r="J42" s="142">
        <f>HLOOKUP(IPS_security_table5[[#This Row],[Product]],Inputs_table6[#All],9,FALSE)</f>
        <v>0</v>
      </c>
      <c r="K42" s="142">
        <f>HLOOKUP(IPS_security_table5[[#This Row],[Product]],Inputs_table6[#All],10,FALSE)</f>
        <v>0</v>
      </c>
      <c r="L42" s="142">
        <f>HLOOKUP(IPS_security_table5[[#This Row],[Product]],Inputs_table6[#All],12,FALSE)</f>
        <v>0</v>
      </c>
      <c r="M42" s="142">
        <f>HLOOKUP(IPS_security_table5[[#This Row],[Product]],Inputs_table6[#All],13,FALSE)</f>
        <v>0</v>
      </c>
      <c r="N42" s="142">
        <f>HLOOKUP(IPS_security_table5[[#This Row],[Product]],Inputs_table6[#All],14,FALSE)</f>
        <v>0</v>
      </c>
      <c r="O42" s="142">
        <f>HLOOKUP(IPS_security_table5[[#This Row],[Product]],Inputs_table6[#All],15,FALSE)</f>
        <v>0</v>
      </c>
      <c r="P42" s="142">
        <f>HLOOKUP(IPS_security_table5[[#This Row],[Product]],Inputs_table6[#All],16,FALSE)</f>
        <v>0</v>
      </c>
    </row>
    <row r="43" spans="1:16">
      <c r="B43" s="133" t="str">
        <f>Comb_scrd[[#Headers],[HP TippingPoint S7500NX]]</f>
        <v>HP TippingPoint S7500NX</v>
      </c>
      <c r="C43" s="136">
        <f>SUM(IPS_security_table5[[#This Row],[IP Packet Fragmentation]:[TCP Segmentation + SMB / NETBIOS Evasions]])</f>
        <v>0</v>
      </c>
      <c r="D43" s="136">
        <f>HLOOKUP(IPS_security_table5[[#This Row],[Product]],Inputs_table6[#All],3,FALSE)</f>
        <v>0</v>
      </c>
      <c r="E43" s="136">
        <f>HLOOKUP(IPS_security_table5[[#This Row],[Product]],Inputs_table6[#All],4,FALSE)</f>
        <v>0</v>
      </c>
      <c r="F43" s="136">
        <f>HLOOKUP(IPS_security_table5[[#This Row],[Product]],Inputs_table6[#All],5,FALSE)</f>
        <v>0</v>
      </c>
      <c r="G43" s="136">
        <f>HLOOKUP(IPS_security_table5[[#This Row],[Product]],Inputs_table6[#All],6,FALSE)</f>
        <v>0</v>
      </c>
      <c r="H43" s="136">
        <f>HLOOKUP(IPS_security_table5[[#This Row],[Product]],Inputs_table6[#All],7,FALSE)</f>
        <v>0</v>
      </c>
      <c r="I43" s="136">
        <f>HLOOKUP(IPS_security_table5[[#This Row],[Product]],Inputs_table6[#All],8,FALSE)</f>
        <v>0</v>
      </c>
      <c r="J43" s="136">
        <f>HLOOKUP(IPS_security_table5[[#This Row],[Product]],Inputs_table6[#All],9,FALSE)</f>
        <v>0</v>
      </c>
      <c r="K43" s="136">
        <f>HLOOKUP(IPS_security_table5[[#This Row],[Product]],Inputs_table6[#All],10,FALSE)</f>
        <v>0</v>
      </c>
      <c r="L43" s="136">
        <f>HLOOKUP(IPS_security_table5[[#This Row],[Product]],Inputs_table6[#All],12,FALSE)</f>
        <v>0</v>
      </c>
      <c r="M43" s="136">
        <f>HLOOKUP(IPS_security_table5[[#This Row],[Product]],Inputs_table6[#All],13,FALSE)</f>
        <v>0</v>
      </c>
      <c r="N43" s="136">
        <f>HLOOKUP(IPS_security_table5[[#This Row],[Product]],Inputs_table6[#All],14,FALSE)</f>
        <v>0</v>
      </c>
      <c r="O43" s="136">
        <f>HLOOKUP(IPS_security_table5[[#This Row],[Product]],Inputs_table6[#All],15,FALSE)</f>
        <v>0</v>
      </c>
      <c r="P43" s="136">
        <f>HLOOKUP(IPS_security_table5[[#This Row],[Product]],Inputs_table6[#All],16,FALSE)</f>
        <v>0</v>
      </c>
    </row>
    <row r="44" spans="1:16">
      <c r="B44" s="133" t="str">
        <f>Comb_scrd[[#Headers],[IBM Security Network Protection XGS 5100]]</f>
        <v>IBM Security Network Protection XGS 5100</v>
      </c>
      <c r="C44" s="142">
        <f>SUM(IPS_security_table5[[#This Row],[IP Packet Fragmentation]:[TCP Segmentation + SMB / NETBIOS Evasions]])</f>
        <v>0</v>
      </c>
      <c r="D44" s="142">
        <f>HLOOKUP(IPS_security_table5[[#This Row],[Product]],Inputs_table6[#All],3,FALSE)</f>
        <v>0</v>
      </c>
      <c r="E44" s="142">
        <f>HLOOKUP(IPS_security_table5[[#This Row],[Product]],Inputs_table6[#All],4,FALSE)</f>
        <v>0</v>
      </c>
      <c r="F44" s="142">
        <f>HLOOKUP(IPS_security_table5[[#This Row],[Product]],Inputs_table6[#All],5,FALSE)</f>
        <v>0</v>
      </c>
      <c r="G44" s="142">
        <f>HLOOKUP(IPS_security_table5[[#This Row],[Product]],Inputs_table6[#All],6,FALSE)</f>
        <v>0</v>
      </c>
      <c r="H44" s="142">
        <f>HLOOKUP(IPS_security_table5[[#This Row],[Product]],Inputs_table6[#All],7,FALSE)</f>
        <v>0</v>
      </c>
      <c r="I44" s="142">
        <f>HLOOKUP(IPS_security_table5[[#This Row],[Product]],Inputs_table6[#All],8,FALSE)</f>
        <v>0</v>
      </c>
      <c r="J44" s="142">
        <f>HLOOKUP(IPS_security_table5[[#This Row],[Product]],Inputs_table6[#All],9,FALSE)</f>
        <v>0</v>
      </c>
      <c r="K44" s="142">
        <f>HLOOKUP(IPS_security_table5[[#This Row],[Product]],Inputs_table6[#All],10,FALSE)</f>
        <v>0</v>
      </c>
      <c r="L44" s="142">
        <f>HLOOKUP(IPS_security_table5[[#This Row],[Product]],Inputs_table6[#All],12,FALSE)</f>
        <v>0</v>
      </c>
      <c r="M44" s="142">
        <f>HLOOKUP(IPS_security_table5[[#This Row],[Product]],Inputs_table6[#All],13,FALSE)</f>
        <v>0</v>
      </c>
      <c r="N44" s="142">
        <f>HLOOKUP(IPS_security_table5[[#This Row],[Product]],Inputs_table6[#All],14,FALSE)</f>
        <v>0</v>
      </c>
      <c r="O44" s="142">
        <f>HLOOKUP(IPS_security_table5[[#This Row],[Product]],Inputs_table6[#All],15,FALSE)</f>
        <v>0</v>
      </c>
      <c r="P44" s="142">
        <f>HLOOKUP(IPS_security_table5[[#This Row],[Product]],Inputs_table6[#All],16,FALSE)</f>
        <v>0</v>
      </c>
    </row>
    <row r="45" spans="1:16">
      <c r="B45" s="133" t="str">
        <f>Comb_scrd[[#Headers],[IBM Security Network Protection XGS 7100]]</f>
        <v>IBM Security Network Protection XGS 7100</v>
      </c>
      <c r="C45" s="142">
        <f>SUM(IPS_security_table5[[#This Row],[IP Packet Fragmentation]:[TCP Segmentation + SMB / NETBIOS Evasions]])</f>
        <v>0</v>
      </c>
      <c r="D45" s="142">
        <f>HLOOKUP(IPS_security_table5[[#This Row],[Product]],Inputs_table6[#All],3,FALSE)</f>
        <v>0</v>
      </c>
      <c r="E45" s="142">
        <f>HLOOKUP(IPS_security_table5[[#This Row],[Product]],Inputs_table6[#All],4,FALSE)</f>
        <v>0</v>
      </c>
      <c r="F45" s="142">
        <f>HLOOKUP(IPS_security_table5[[#This Row],[Product]],Inputs_table6[#All],5,FALSE)</f>
        <v>0</v>
      </c>
      <c r="G45" s="142">
        <f>HLOOKUP(IPS_security_table5[[#This Row],[Product]],Inputs_table6[#All],6,FALSE)</f>
        <v>0</v>
      </c>
      <c r="H45" s="142">
        <f>HLOOKUP(IPS_security_table5[[#This Row],[Product]],Inputs_table6[#All],7,FALSE)</f>
        <v>0</v>
      </c>
      <c r="I45" s="142">
        <f>HLOOKUP(IPS_security_table5[[#This Row],[Product]],Inputs_table6[#All],8,FALSE)</f>
        <v>0</v>
      </c>
      <c r="J45" s="142">
        <f>HLOOKUP(IPS_security_table5[[#This Row],[Product]],Inputs_table6[#All],9,FALSE)</f>
        <v>0</v>
      </c>
      <c r="K45" s="142">
        <f>HLOOKUP(IPS_security_table5[[#This Row],[Product]],Inputs_table6[#All],10,FALSE)</f>
        <v>0</v>
      </c>
      <c r="L45" s="142">
        <f>HLOOKUP(IPS_security_table5[[#This Row],[Product]],Inputs_table6[#All],12,FALSE)</f>
        <v>0</v>
      </c>
      <c r="M45" s="142">
        <f>HLOOKUP(IPS_security_table5[[#This Row],[Product]],Inputs_table6[#All],13,FALSE)</f>
        <v>0</v>
      </c>
      <c r="N45" s="142">
        <f>HLOOKUP(IPS_security_table5[[#This Row],[Product]],Inputs_table6[#All],14,FALSE)</f>
        <v>0</v>
      </c>
      <c r="O45" s="142">
        <f>HLOOKUP(IPS_security_table5[[#This Row],[Product]],Inputs_table6[#All],15,FALSE)</f>
        <v>0</v>
      </c>
      <c r="P45" s="142">
        <f>HLOOKUP(IPS_security_table5[[#This Row],[Product]],Inputs_table6[#All],16,FALSE)</f>
        <v>0</v>
      </c>
    </row>
    <row r="46" spans="1:16">
      <c r="B46" s="133" t="str">
        <f>Comb_scrd[[#Headers],[Palo Alto Networks PA-5020]]</f>
        <v>Palo Alto Networks PA-5020</v>
      </c>
      <c r="C46" s="142">
        <f>SUM(IPS_security_table5[[#This Row],[IP Packet Fragmentation]:[TCP Segmentation + SMB / NETBIOS Evasions]])</f>
        <v>0</v>
      </c>
      <c r="D46" s="142">
        <f>HLOOKUP(IPS_security_table5[[#This Row],[Product]],Inputs_table6[#All],3,FALSE)</f>
        <v>0</v>
      </c>
      <c r="E46" s="142">
        <f>HLOOKUP(IPS_security_table5[[#This Row],[Product]],Inputs_table6[#All],4,FALSE)</f>
        <v>0</v>
      </c>
      <c r="F46" s="142">
        <f>HLOOKUP(IPS_security_table5[[#This Row],[Product]],Inputs_table6[#All],5,FALSE)</f>
        <v>0</v>
      </c>
      <c r="G46" s="142">
        <f>HLOOKUP(IPS_security_table5[[#This Row],[Product]],Inputs_table6[#All],6,FALSE)</f>
        <v>0</v>
      </c>
      <c r="H46" s="142">
        <f>HLOOKUP(IPS_security_table5[[#This Row],[Product]],Inputs_table6[#All],7,FALSE)</f>
        <v>0</v>
      </c>
      <c r="I46" s="142">
        <f>HLOOKUP(IPS_security_table5[[#This Row],[Product]],Inputs_table6[#All],8,FALSE)</f>
        <v>0</v>
      </c>
      <c r="J46" s="142">
        <f>HLOOKUP(IPS_security_table5[[#This Row],[Product]],Inputs_table6[#All],9,FALSE)</f>
        <v>0</v>
      </c>
      <c r="K46" s="142">
        <f>HLOOKUP(IPS_security_table5[[#This Row],[Product]],Inputs_table6[#All],10,FALSE)</f>
        <v>0</v>
      </c>
      <c r="L46" s="142">
        <f>HLOOKUP(IPS_security_table5[[#This Row],[Product]],Inputs_table6[#All],12,FALSE)</f>
        <v>0</v>
      </c>
      <c r="M46" s="142">
        <f>HLOOKUP(IPS_security_table5[[#This Row],[Product]],Inputs_table6[#All],13,FALSE)</f>
        <v>0</v>
      </c>
      <c r="N46" s="142">
        <f>HLOOKUP(IPS_security_table5[[#This Row],[Product]],Inputs_table6[#All],14,FALSE)</f>
        <v>0</v>
      </c>
      <c r="O46" s="142">
        <f>HLOOKUP(IPS_security_table5[[#This Row],[Product]],Inputs_table6[#All],15,FALSE)</f>
        <v>0</v>
      </c>
      <c r="P46" s="142">
        <f>HLOOKUP(IPS_security_table5[[#This Row],[Product]],Inputs_table6[#All],16,FALSE)</f>
        <v>0</v>
      </c>
    </row>
    <row r="47" spans="1:16">
      <c r="C47" s="143"/>
      <c r="D47" s="143" t="s">
        <v>197</v>
      </c>
      <c r="E47" s="143" t="s">
        <v>197</v>
      </c>
      <c r="F47" s="143" t="s">
        <v>198</v>
      </c>
      <c r="G47" s="143" t="s">
        <v>198</v>
      </c>
      <c r="H47" s="143" t="s">
        <v>198</v>
      </c>
      <c r="I47" s="143" t="s">
        <v>199</v>
      </c>
      <c r="J47" s="143" t="s">
        <v>199</v>
      </c>
      <c r="K47" s="143" t="s">
        <v>198</v>
      </c>
      <c r="L47" s="144" t="s">
        <v>197</v>
      </c>
      <c r="M47" s="143" t="s">
        <v>198</v>
      </c>
      <c r="N47" s="143" t="s">
        <v>198</v>
      </c>
      <c r="O47" s="143" t="s">
        <v>198</v>
      </c>
      <c r="P47" s="143" t="s">
        <v>198</v>
      </c>
    </row>
    <row r="48" spans="1:16">
      <c r="C48" s="143"/>
      <c r="D48" s="143"/>
      <c r="E48" s="143"/>
      <c r="F48" s="143"/>
      <c r="G48" s="143"/>
      <c r="H48" s="143"/>
      <c r="I48" s="143"/>
      <c r="J48" s="143"/>
      <c r="K48" s="143"/>
      <c r="L48" s="143"/>
      <c r="M48" s="143"/>
      <c r="N48" s="143"/>
      <c r="O48" s="143"/>
      <c r="P48" s="143"/>
    </row>
    <row r="49" spans="1:16">
      <c r="A49" s="139" t="s">
        <v>430</v>
      </c>
      <c r="B49" s="132" t="s">
        <v>382</v>
      </c>
      <c r="C49" s="143"/>
      <c r="D49" s="143"/>
      <c r="E49" s="143"/>
      <c r="F49" s="143"/>
      <c r="G49" s="143"/>
      <c r="H49" s="143"/>
      <c r="I49" s="143"/>
      <c r="J49" s="143"/>
      <c r="K49" s="143"/>
      <c r="L49" s="143"/>
      <c r="M49" s="143"/>
      <c r="N49" s="143"/>
      <c r="O49" s="143"/>
      <c r="P49" s="143"/>
    </row>
    <row r="50" spans="1:16" ht="24">
      <c r="B50" s="134" t="s">
        <v>74</v>
      </c>
      <c r="C50" s="135" t="s">
        <v>200</v>
      </c>
      <c r="D50" s="135" t="s">
        <v>185</v>
      </c>
      <c r="E50" s="135" t="s">
        <v>186</v>
      </c>
      <c r="F50" s="135" t="s">
        <v>187</v>
      </c>
      <c r="G50" s="135" t="s">
        <v>188</v>
      </c>
      <c r="H50" s="135" t="s">
        <v>189</v>
      </c>
      <c r="I50" s="135" t="s">
        <v>190</v>
      </c>
      <c r="J50" s="135" t="s">
        <v>191</v>
      </c>
      <c r="K50" s="135" t="s">
        <v>192</v>
      </c>
      <c r="L50" s="135" t="s">
        <v>193</v>
      </c>
      <c r="M50" s="135" t="s">
        <v>194</v>
      </c>
      <c r="N50" s="135" t="s">
        <v>195</v>
      </c>
      <c r="O50" s="135" t="s">
        <v>196</v>
      </c>
      <c r="P50" s="134" t="s">
        <v>133</v>
      </c>
    </row>
    <row r="51" spans="1:16">
      <c r="B51" s="133" t="str">
        <f>Comb_scrd[[#Headers],[Cisco FirePOWER 8350]]</f>
        <v>Cisco FirePOWER 8350</v>
      </c>
      <c r="C51" s="136">
        <f>SUM(IPS_security_table6[[#This Row],[IP Packet Fragmentation]:[TCP Segmentation + SMB / NETBIOS Evasions]])</f>
        <v>0</v>
      </c>
      <c r="D51" s="136">
        <f>HLOOKUP(IPS_security_table6[[#This Row],[Product]],Inputs_table6[#All],3,FALSE)</f>
        <v>0</v>
      </c>
      <c r="E51" s="136">
        <f>HLOOKUP(IPS_security_table6[[#This Row],[Product]],Inputs_table6[#All],4,FALSE)</f>
        <v>0</v>
      </c>
      <c r="F51" s="136">
        <f>HLOOKUP(IPS_security_table6[[#This Row],[Product]],Inputs_table6[#All],5,FALSE)</f>
        <v>0</v>
      </c>
      <c r="G51" s="136">
        <f>HLOOKUP(IPS_security_table6[[#This Row],[Product]],Inputs_table6[#All],6,FALSE)</f>
        <v>0</v>
      </c>
      <c r="H51" s="136">
        <f>HLOOKUP(IPS_security_table6[[#This Row],[Product]],Inputs_table6[#All],7,FALSE)</f>
        <v>0</v>
      </c>
      <c r="I51" s="145"/>
      <c r="J51" s="145"/>
      <c r="K51" s="136">
        <f>HLOOKUP(IPS_security_table6[[#This Row],[Product]],Inputs_table6[#All],10,FALSE)</f>
        <v>0</v>
      </c>
      <c r="L51" s="136">
        <f>HLOOKUP(IPS_security_table6[[#This Row],[Product]],Inputs_table6[#All],12,FALSE)</f>
        <v>0</v>
      </c>
      <c r="M51" s="136">
        <f>HLOOKUP(IPS_security_table6[[#This Row],[Product]],Inputs_table6[#All],13,FALSE)</f>
        <v>0</v>
      </c>
      <c r="N51" s="136">
        <f>HLOOKUP(IPS_security_table6[[#This Row],[Product]],Inputs_table6[#All],14,FALSE)</f>
        <v>0</v>
      </c>
      <c r="O51" s="136">
        <f>HLOOKUP(IPS_security_table6[[#This Row],[Product]],Inputs_table6[#All],15,FALSE)</f>
        <v>0</v>
      </c>
      <c r="P51" s="136">
        <f>HLOOKUP(IPS_security_table6[[#This Row],[Product]],Inputs_table6[#All],16,FALSE)</f>
        <v>0</v>
      </c>
    </row>
    <row r="52" spans="1:16">
      <c r="B52" s="133" t="str">
        <f>Comb_scrd[[#Headers],[Fortinet FortiGate-1500D]]</f>
        <v>Fortinet FortiGate-1500D</v>
      </c>
      <c r="C52" s="136">
        <f>SUM(IPS_security_table6[[#This Row],[IP Packet Fragmentation]:[TCP Segmentation + SMB / NETBIOS Evasions]])</f>
        <v>0</v>
      </c>
      <c r="D52" s="136">
        <f>HLOOKUP(IPS_security_table6[[#This Row],[Product]],Inputs_table6[#All],3,FALSE)</f>
        <v>0</v>
      </c>
      <c r="E52" s="136">
        <f>HLOOKUP(IPS_security_table6[[#This Row],[Product]],Inputs_table6[#All],4,FALSE)</f>
        <v>0</v>
      </c>
      <c r="F52" s="136">
        <f>HLOOKUP(IPS_security_table6[[#This Row],[Product]],Inputs_table6[#All],5,FALSE)</f>
        <v>0</v>
      </c>
      <c r="G52" s="136">
        <f>HLOOKUP(IPS_security_table6[[#This Row],[Product]],Inputs_table6[#All],6,FALSE)</f>
        <v>0</v>
      </c>
      <c r="H52" s="136">
        <f>HLOOKUP(IPS_security_table6[[#This Row],[Product]],Inputs_table6[#All],7,FALSE)</f>
        <v>0</v>
      </c>
      <c r="I52" s="145"/>
      <c r="J52" s="145"/>
      <c r="K52" s="136">
        <f>HLOOKUP(IPS_security_table6[[#This Row],[Product]],Inputs_table6[#All],10,FALSE)</f>
        <v>0</v>
      </c>
      <c r="L52" s="136">
        <f>HLOOKUP(IPS_security_table6[[#This Row],[Product]],Inputs_table6[#All],12,FALSE)</f>
        <v>0</v>
      </c>
      <c r="M52" s="136">
        <f>HLOOKUP(IPS_security_table6[[#This Row],[Product]],Inputs_table6[#All],13,FALSE)</f>
        <v>0</v>
      </c>
      <c r="N52" s="136">
        <f>HLOOKUP(IPS_security_table6[[#This Row],[Product]],Inputs_table6[#All],14,FALSE)</f>
        <v>0</v>
      </c>
      <c r="O52" s="136">
        <f>HLOOKUP(IPS_security_table6[[#This Row],[Product]],Inputs_table6[#All],15,FALSE)</f>
        <v>0</v>
      </c>
      <c r="P52" s="136">
        <f>HLOOKUP(IPS_security_table6[[#This Row],[Product]],Inputs_table6[#All],16,FALSE)</f>
        <v>0</v>
      </c>
    </row>
    <row r="53" spans="1:16">
      <c r="B53" s="133" t="str">
        <f>Comb_scrd[[#Headers],[HP TippingPoint S7500NX]]</f>
        <v>HP TippingPoint S7500NX</v>
      </c>
      <c r="C53" s="136">
        <f>SUM(IPS_security_table6[[#This Row],[IP Packet Fragmentation]:[TCP Segmentation + SMB / NETBIOS Evasions]])</f>
        <v>0</v>
      </c>
      <c r="D53" s="136">
        <f>HLOOKUP(IPS_security_table6[[#This Row],[Product]],Inputs_table6[#All],3,FALSE)</f>
        <v>0</v>
      </c>
      <c r="E53" s="136">
        <f>HLOOKUP(IPS_security_table6[[#This Row],[Product]],Inputs_table6[#All],4,FALSE)</f>
        <v>0</v>
      </c>
      <c r="F53" s="136">
        <f>HLOOKUP(IPS_security_table6[[#This Row],[Product]],Inputs_table6[#All],5,FALSE)</f>
        <v>0</v>
      </c>
      <c r="G53" s="136">
        <f>HLOOKUP(IPS_security_table6[[#This Row],[Product]],Inputs_table6[#All],6,FALSE)</f>
        <v>0</v>
      </c>
      <c r="H53" s="136">
        <f>HLOOKUP(IPS_security_table6[[#This Row],[Product]],Inputs_table6[#All],7,FALSE)</f>
        <v>0</v>
      </c>
      <c r="I53" s="145"/>
      <c r="J53" s="145"/>
      <c r="K53" s="136">
        <f>HLOOKUP(IPS_security_table6[[#This Row],[Product]],Inputs_table6[#All],10,FALSE)</f>
        <v>0</v>
      </c>
      <c r="L53" s="136">
        <f>HLOOKUP(IPS_security_table6[[#This Row],[Product]],Inputs_table6[#All],12,FALSE)</f>
        <v>0</v>
      </c>
      <c r="M53" s="136">
        <f>HLOOKUP(IPS_security_table6[[#This Row],[Product]],Inputs_table6[#All],13,FALSE)</f>
        <v>0</v>
      </c>
      <c r="N53" s="136">
        <f>HLOOKUP(IPS_security_table6[[#This Row],[Product]],Inputs_table6[#All],14,FALSE)</f>
        <v>0</v>
      </c>
      <c r="O53" s="136">
        <f>HLOOKUP(IPS_security_table6[[#This Row],[Product]],Inputs_table6[#All],15,FALSE)</f>
        <v>0</v>
      </c>
      <c r="P53" s="136">
        <f>HLOOKUP(IPS_security_table6[[#This Row],[Product]],Inputs_table6[#All],16,FALSE)</f>
        <v>0</v>
      </c>
    </row>
    <row r="54" spans="1:16">
      <c r="B54" s="133" t="str">
        <f>Comb_scrd[[#Headers],[IBM Security Network Protection XGS 5100]]</f>
        <v>IBM Security Network Protection XGS 5100</v>
      </c>
      <c r="C54" s="142">
        <f>SUM(IPS_security_table6[[#This Row],[IP Packet Fragmentation]:[TCP Segmentation + SMB / NETBIOS Evasions]])</f>
        <v>0</v>
      </c>
      <c r="D54" s="142">
        <f>HLOOKUP(IPS_security_table6[[#This Row],[Product]],Inputs_table6[#All],3,FALSE)</f>
        <v>0</v>
      </c>
      <c r="E54" s="142">
        <f>HLOOKUP(IPS_security_table6[[#This Row],[Product]],Inputs_table6[#All],4,FALSE)</f>
        <v>0</v>
      </c>
      <c r="F54" s="142">
        <f>HLOOKUP(IPS_security_table6[[#This Row],[Product]],Inputs_table6[#All],5,FALSE)</f>
        <v>0</v>
      </c>
      <c r="G54" s="142">
        <f>HLOOKUP(IPS_security_table6[[#This Row],[Product]],Inputs_table6[#All],6,FALSE)</f>
        <v>0</v>
      </c>
      <c r="H54" s="142">
        <f>HLOOKUP(IPS_security_table6[[#This Row],[Product]],Inputs_table6[#All],7,FALSE)</f>
        <v>0</v>
      </c>
      <c r="I54" s="145"/>
      <c r="J54" s="145"/>
      <c r="K54" s="142">
        <f>HLOOKUP(IPS_security_table6[[#This Row],[Product]],Inputs_table6[#All],10,FALSE)</f>
        <v>0</v>
      </c>
      <c r="L54" s="142">
        <f>HLOOKUP(IPS_security_table6[[#This Row],[Product]],Inputs_table6[#All],12,FALSE)</f>
        <v>0</v>
      </c>
      <c r="M54" s="142">
        <f>HLOOKUP(IPS_security_table6[[#This Row],[Product]],Inputs_table6[#All],13,FALSE)</f>
        <v>0</v>
      </c>
      <c r="N54" s="142">
        <f>HLOOKUP(IPS_security_table6[[#This Row],[Product]],Inputs_table6[#All],14,FALSE)</f>
        <v>0</v>
      </c>
      <c r="O54" s="142">
        <f>HLOOKUP(IPS_security_table6[[#This Row],[Product]],Inputs_table6[#All],15,FALSE)</f>
        <v>0</v>
      </c>
      <c r="P54" s="136">
        <f>HLOOKUP(IPS_security_table6[[#This Row],[Product]],Inputs_table6[#All],16,FALSE)</f>
        <v>0</v>
      </c>
    </row>
    <row r="55" spans="1:16">
      <c r="B55" s="133" t="str">
        <f>Comb_scrd[[#Headers],[IBM Security Network Protection XGS 7100]]</f>
        <v>IBM Security Network Protection XGS 7100</v>
      </c>
      <c r="C55" s="142">
        <f>SUM(IPS_security_table6[[#This Row],[IP Packet Fragmentation]:[TCP Segmentation + SMB / NETBIOS Evasions]])</f>
        <v>0</v>
      </c>
      <c r="D55" s="142">
        <f>HLOOKUP(IPS_security_table6[[#This Row],[Product]],Inputs_table6[#All],3,FALSE)</f>
        <v>0</v>
      </c>
      <c r="E55" s="142">
        <f>HLOOKUP(IPS_security_table6[[#This Row],[Product]],Inputs_table6[#All],4,FALSE)</f>
        <v>0</v>
      </c>
      <c r="F55" s="142">
        <f>HLOOKUP(IPS_security_table6[[#This Row],[Product]],Inputs_table6[#All],5,FALSE)</f>
        <v>0</v>
      </c>
      <c r="G55" s="142">
        <f>HLOOKUP(IPS_security_table6[[#This Row],[Product]],Inputs_table6[#All],6,FALSE)</f>
        <v>0</v>
      </c>
      <c r="H55" s="142">
        <f>HLOOKUP(IPS_security_table6[[#This Row],[Product]],Inputs_table6[#All],7,FALSE)</f>
        <v>0</v>
      </c>
      <c r="I55" s="145"/>
      <c r="J55" s="145"/>
      <c r="K55" s="142">
        <f>HLOOKUP(IPS_security_table6[[#This Row],[Product]],Inputs_table6[#All],10,FALSE)</f>
        <v>0</v>
      </c>
      <c r="L55" s="142">
        <f>HLOOKUP(IPS_security_table6[[#This Row],[Product]],Inputs_table6[#All],12,FALSE)</f>
        <v>0</v>
      </c>
      <c r="M55" s="142">
        <f>HLOOKUP(IPS_security_table6[[#This Row],[Product]],Inputs_table6[#All],13,FALSE)</f>
        <v>0</v>
      </c>
      <c r="N55" s="142">
        <f>HLOOKUP(IPS_security_table6[[#This Row],[Product]],Inputs_table6[#All],14,FALSE)</f>
        <v>0</v>
      </c>
      <c r="O55" s="142">
        <f>HLOOKUP(IPS_security_table6[[#This Row],[Product]],Inputs_table6[#All],15,FALSE)</f>
        <v>0</v>
      </c>
      <c r="P55" s="136">
        <f>HLOOKUP(IPS_security_table6[[#This Row],[Product]],Inputs_table6[#All],16,FALSE)</f>
        <v>0</v>
      </c>
    </row>
    <row r="56" spans="1:16">
      <c r="B56" s="133" t="str">
        <f>Comb_scrd[[#Headers],[Palo Alto Networks PA-5020]]</f>
        <v>Palo Alto Networks PA-5020</v>
      </c>
      <c r="C56" s="142">
        <f>SUM(IPS_security_table6[[#This Row],[IP Packet Fragmentation]:[TCP Segmentation + SMB / NETBIOS Evasions]])</f>
        <v>0</v>
      </c>
      <c r="D56" s="142">
        <f>HLOOKUP(IPS_security_table6[[#This Row],[Product]],Inputs_table6[#All],3,FALSE)</f>
        <v>0</v>
      </c>
      <c r="E56" s="142">
        <f>HLOOKUP(IPS_security_table6[[#This Row],[Product]],Inputs_table6[#All],4,FALSE)</f>
        <v>0</v>
      </c>
      <c r="F56" s="142">
        <f>HLOOKUP(IPS_security_table6[[#This Row],[Product]],Inputs_table6[#All],5,FALSE)</f>
        <v>0</v>
      </c>
      <c r="G56" s="142">
        <f>HLOOKUP(IPS_security_table6[[#This Row],[Product]],Inputs_table6[#All],6,FALSE)</f>
        <v>0</v>
      </c>
      <c r="H56" s="142">
        <f>HLOOKUP(IPS_security_table6[[#This Row],[Product]],Inputs_table6[#All],7,FALSE)</f>
        <v>0</v>
      </c>
      <c r="I56" s="145"/>
      <c r="J56" s="145"/>
      <c r="K56" s="142">
        <f>HLOOKUP(IPS_security_table6[[#This Row],[Product]],Inputs_table6[#All],10,FALSE)</f>
        <v>0</v>
      </c>
      <c r="L56" s="142">
        <f>HLOOKUP(IPS_security_table6[[#This Row],[Product]],Inputs_table6[#All],12,FALSE)</f>
        <v>0</v>
      </c>
      <c r="M56" s="142">
        <f>HLOOKUP(IPS_security_table6[[#This Row],[Product]],Inputs_table6[#All],13,FALSE)</f>
        <v>0</v>
      </c>
      <c r="N56" s="142">
        <f>HLOOKUP(IPS_security_table6[[#This Row],[Product]],Inputs_table6[#All],14,FALSE)</f>
        <v>0</v>
      </c>
      <c r="O56" s="142">
        <f>HLOOKUP(IPS_security_table6[[#This Row],[Product]],Inputs_table6[#All],15,FALSE)</f>
        <v>0</v>
      </c>
      <c r="P56" s="136">
        <f>HLOOKUP(IPS_security_table6[[#This Row],[Product]],Inputs_table6[#All],16,FALSE)</f>
        <v>0</v>
      </c>
    </row>
    <row r="57" spans="1:16">
      <c r="C57" s="143"/>
      <c r="D57" s="143"/>
      <c r="E57" s="143"/>
      <c r="F57" s="143"/>
      <c r="G57" s="146"/>
      <c r="H57" s="143"/>
      <c r="I57" s="143"/>
      <c r="J57" s="143"/>
      <c r="K57" s="143"/>
      <c r="L57" s="143"/>
      <c r="M57" s="143"/>
      <c r="N57" s="143"/>
      <c r="O57" s="143"/>
      <c r="P57" s="143"/>
    </row>
    <row r="58" spans="1:16">
      <c r="A58" s="139" t="s">
        <v>431</v>
      </c>
      <c r="B58" s="132" t="s">
        <v>381</v>
      </c>
      <c r="C58" s="143"/>
      <c r="D58" s="143"/>
      <c r="E58" s="143"/>
      <c r="F58" s="143"/>
      <c r="G58" s="146"/>
      <c r="H58" s="143"/>
      <c r="I58" s="143"/>
      <c r="J58" s="143"/>
      <c r="K58" s="143"/>
      <c r="L58" s="143"/>
      <c r="M58" s="143"/>
      <c r="N58" s="143"/>
      <c r="O58" s="143"/>
      <c r="P58" s="143"/>
    </row>
    <row r="59" spans="1:16" ht="24">
      <c r="B59" s="134" t="s">
        <v>74</v>
      </c>
      <c r="C59" s="135" t="s">
        <v>201</v>
      </c>
      <c r="D59" s="135" t="s">
        <v>185</v>
      </c>
      <c r="E59" s="135" t="s">
        <v>186</v>
      </c>
      <c r="F59" s="135" t="s">
        <v>187</v>
      </c>
      <c r="G59" s="135" t="s">
        <v>188</v>
      </c>
      <c r="H59" s="135" t="s">
        <v>189</v>
      </c>
      <c r="I59" s="135" t="s">
        <v>190</v>
      </c>
      <c r="J59" s="135" t="s">
        <v>191</v>
      </c>
      <c r="K59" s="135" t="s">
        <v>192</v>
      </c>
      <c r="L59" s="135" t="s">
        <v>193</v>
      </c>
      <c r="M59" s="135" t="s">
        <v>194</v>
      </c>
      <c r="N59" s="135" t="s">
        <v>195</v>
      </c>
      <c r="O59" s="135" t="s">
        <v>196</v>
      </c>
      <c r="P59" s="147" t="s">
        <v>133</v>
      </c>
    </row>
    <row r="60" spans="1:16">
      <c r="B60" s="133" t="str">
        <f>Comb_scrd[[#Headers],[Cisco FirePOWER 8350]]</f>
        <v>Cisco FirePOWER 8350</v>
      </c>
      <c r="C60" s="136">
        <f>SUM(IPS_security_table7[[#This Row],[IP Packet Fragmentation]:[TCP Segmentation + SMB / NETBIOS Evasions]])</f>
        <v>0</v>
      </c>
      <c r="D60" s="136">
        <f>HLOOKUP(IPS_security_table7[[#This Row],[Product]],Inputs_table6[#All],3,FALSE)</f>
        <v>0</v>
      </c>
      <c r="E60" s="136">
        <f>HLOOKUP(IPS_security_table7[[#This Row],[Product]],Inputs_table6[#All],4,FALSE)</f>
        <v>0</v>
      </c>
      <c r="F60" s="145"/>
      <c r="G60" s="145"/>
      <c r="H60" s="145"/>
      <c r="I60" s="136">
        <f>HLOOKUP(IPS_security_table7[[#This Row],[Product]],Inputs_table6[#All],8,FALSE)</f>
        <v>0</v>
      </c>
      <c r="J60" s="136">
        <f>HLOOKUP(IPS_security_table7[[#This Row],[Product]],Inputs_table6[#All],9,FALSE)</f>
        <v>0</v>
      </c>
      <c r="K60" s="145"/>
      <c r="L60" s="136">
        <f>HLOOKUP(IPS_security_table7[[#This Row],[Product]],Inputs_table6[#All],12,FALSE)</f>
        <v>0</v>
      </c>
      <c r="M60" s="145"/>
      <c r="N60" s="145"/>
      <c r="O60" s="145"/>
      <c r="P60" s="145"/>
    </row>
    <row r="61" spans="1:16">
      <c r="B61" s="133" t="str">
        <f>Comb_scrd[[#Headers],[Fortinet FortiGate-1500D]]</f>
        <v>Fortinet FortiGate-1500D</v>
      </c>
      <c r="C61" s="136">
        <f>SUM(IPS_security_table7[[#This Row],[IP Packet Fragmentation]:[TCP Segmentation + SMB / NETBIOS Evasions]])</f>
        <v>0</v>
      </c>
      <c r="D61" s="136">
        <f>HLOOKUP(IPS_security_table7[[#This Row],[Product]],Inputs_table6[#All],3,FALSE)</f>
        <v>0</v>
      </c>
      <c r="E61" s="136">
        <f>HLOOKUP(IPS_security_table7[[#This Row],[Product]],Inputs_table6[#All],4,FALSE)</f>
        <v>0</v>
      </c>
      <c r="F61" s="145"/>
      <c r="G61" s="145"/>
      <c r="H61" s="145"/>
      <c r="I61" s="136">
        <f>HLOOKUP(IPS_security_table7[[#This Row],[Product]],Inputs_table6[#All],8,FALSE)</f>
        <v>0</v>
      </c>
      <c r="J61" s="136">
        <f>HLOOKUP(IPS_security_table7[[#This Row],[Product]],Inputs_table6[#All],9,FALSE)</f>
        <v>0</v>
      </c>
      <c r="K61" s="145"/>
      <c r="L61" s="136">
        <f>HLOOKUP(IPS_security_table7[[#This Row],[Product]],Inputs_table6[#All],12,FALSE)</f>
        <v>0</v>
      </c>
      <c r="M61" s="145"/>
      <c r="N61" s="145"/>
      <c r="O61" s="145"/>
      <c r="P61" s="145"/>
    </row>
    <row r="62" spans="1:16">
      <c r="B62" s="133" t="str">
        <f>Comb_scrd[[#Headers],[HP TippingPoint S7500NX]]</f>
        <v>HP TippingPoint S7500NX</v>
      </c>
      <c r="C62" s="136">
        <f>SUM(IPS_security_table7[[#This Row],[IP Packet Fragmentation]:[TCP Segmentation + SMB / NETBIOS Evasions]])</f>
        <v>0</v>
      </c>
      <c r="D62" s="136">
        <f>HLOOKUP(IPS_security_table7[[#This Row],[Product]],Inputs_table6[#All],3,FALSE)</f>
        <v>0</v>
      </c>
      <c r="E62" s="136">
        <f>HLOOKUP(IPS_security_table7[[#This Row],[Product]],Inputs_table6[#All],4,FALSE)</f>
        <v>0</v>
      </c>
      <c r="F62" s="145"/>
      <c r="G62" s="145"/>
      <c r="H62" s="145"/>
      <c r="I62" s="136">
        <f>HLOOKUP(IPS_security_table7[[#This Row],[Product]],Inputs_table6[#All],8,FALSE)</f>
        <v>0</v>
      </c>
      <c r="J62" s="136">
        <f>HLOOKUP(IPS_security_table7[[#This Row],[Product]],Inputs_table6[#All],9,FALSE)</f>
        <v>0</v>
      </c>
      <c r="K62" s="145"/>
      <c r="L62" s="136">
        <f>HLOOKUP(IPS_security_table7[[#This Row],[Product]],Inputs_table6[#All],12,FALSE)</f>
        <v>0</v>
      </c>
      <c r="M62" s="145"/>
      <c r="N62" s="145"/>
      <c r="O62" s="145"/>
      <c r="P62" s="145"/>
    </row>
    <row r="63" spans="1:16">
      <c r="B63" s="133" t="str">
        <f>Comb_scrd[[#Headers],[IBM Security Network Protection XGS 5100]]</f>
        <v>IBM Security Network Protection XGS 5100</v>
      </c>
      <c r="C63" s="142">
        <f>SUM(IPS_security_table7[[#This Row],[IP Packet Fragmentation]:[TCP Segmentation + SMB / NETBIOS Evasions]])</f>
        <v>0</v>
      </c>
      <c r="D63" s="142">
        <f>HLOOKUP(IPS_security_table7[[#This Row],[Product]],Inputs_table6[#All],3,FALSE)</f>
        <v>0</v>
      </c>
      <c r="E63" s="142">
        <f>HLOOKUP(IPS_security_table7[[#This Row],[Product]],Inputs_table6[#All],4,FALSE)</f>
        <v>0</v>
      </c>
      <c r="F63" s="145"/>
      <c r="G63" s="145"/>
      <c r="H63" s="145"/>
      <c r="I63" s="142">
        <f>HLOOKUP(IPS_security_table7[[#This Row],[Product]],Inputs_table6[#All],8,FALSE)</f>
        <v>0</v>
      </c>
      <c r="J63" s="142">
        <f>HLOOKUP(IPS_security_table7[[#This Row],[Product]],Inputs_table6[#All],9,FALSE)</f>
        <v>0</v>
      </c>
      <c r="K63" s="145"/>
      <c r="L63" s="142">
        <f>HLOOKUP(IPS_security_table7[[#This Row],[Product]],Inputs_table6[#All],12,FALSE)</f>
        <v>0</v>
      </c>
      <c r="M63" s="145"/>
      <c r="N63" s="145"/>
      <c r="O63" s="145"/>
      <c r="P63" s="145"/>
    </row>
    <row r="64" spans="1:16">
      <c r="B64" s="133" t="str">
        <f>Comb_scrd[[#Headers],[IBM Security Network Protection XGS 7100]]</f>
        <v>IBM Security Network Protection XGS 7100</v>
      </c>
      <c r="C64" s="142">
        <f>SUM(IPS_security_table7[[#This Row],[IP Packet Fragmentation]:[TCP Segmentation + SMB / NETBIOS Evasions]])</f>
        <v>0</v>
      </c>
      <c r="D64" s="142">
        <f>HLOOKUP(IPS_security_table7[[#This Row],[Product]],Inputs_table6[#All],3,FALSE)</f>
        <v>0</v>
      </c>
      <c r="E64" s="142">
        <f>HLOOKUP(IPS_security_table7[[#This Row],[Product]],Inputs_table6[#All],4,FALSE)</f>
        <v>0</v>
      </c>
      <c r="F64" s="145"/>
      <c r="G64" s="145"/>
      <c r="H64" s="145"/>
      <c r="I64" s="142">
        <f>HLOOKUP(IPS_security_table7[[#This Row],[Product]],Inputs_table6[#All],8,FALSE)</f>
        <v>0</v>
      </c>
      <c r="J64" s="142">
        <f>HLOOKUP(IPS_security_table7[[#This Row],[Product]],Inputs_table6[#All],9,FALSE)</f>
        <v>0</v>
      </c>
      <c r="K64" s="145"/>
      <c r="L64" s="142">
        <f>HLOOKUP(IPS_security_table7[[#This Row],[Product]],Inputs_table6[#All],12,FALSE)</f>
        <v>0</v>
      </c>
      <c r="M64" s="145"/>
      <c r="N64" s="145"/>
      <c r="O64" s="145"/>
      <c r="P64" s="145"/>
    </row>
    <row r="65" spans="1:16">
      <c r="B65" s="133" t="str">
        <f>Comb_scrd[[#Headers],[Palo Alto Networks PA-5020]]</f>
        <v>Palo Alto Networks PA-5020</v>
      </c>
      <c r="C65" s="142">
        <f>SUM(IPS_security_table7[[#This Row],[IP Packet Fragmentation]:[TCP Segmentation + SMB / NETBIOS Evasions]])</f>
        <v>0</v>
      </c>
      <c r="D65" s="142">
        <f>HLOOKUP(IPS_security_table7[[#This Row],[Product]],Inputs_table6[#All],3,FALSE)</f>
        <v>0</v>
      </c>
      <c r="E65" s="142">
        <f>HLOOKUP(IPS_security_table7[[#This Row],[Product]],Inputs_table6[#All],4,FALSE)</f>
        <v>0</v>
      </c>
      <c r="F65" s="145"/>
      <c r="G65" s="145"/>
      <c r="H65" s="145"/>
      <c r="I65" s="142">
        <f>HLOOKUP(IPS_security_table7[[#This Row],[Product]],Inputs_table6[#All],8,FALSE)</f>
        <v>0</v>
      </c>
      <c r="J65" s="142">
        <f>HLOOKUP(IPS_security_table7[[#This Row],[Product]],Inputs_table6[#All],9,FALSE)</f>
        <v>0</v>
      </c>
      <c r="K65" s="145"/>
      <c r="L65" s="142">
        <f>HLOOKUP(IPS_security_table7[[#This Row],[Product]],Inputs_table6[#All],12,FALSE)</f>
        <v>0</v>
      </c>
      <c r="M65" s="145"/>
      <c r="N65" s="145"/>
      <c r="O65" s="145"/>
      <c r="P65" s="145"/>
    </row>
    <row r="68" spans="1:16">
      <c r="A68" s="131"/>
    </row>
    <row r="94" spans="1:1">
      <c r="A94" s="131"/>
    </row>
    <row r="121" spans="1:1">
      <c r="A121" s="131"/>
    </row>
    <row r="137" spans="3:58">
      <c r="H137" s="148"/>
      <c r="AQ137" s="148"/>
      <c r="BF137" s="148"/>
    </row>
    <row r="138" spans="3:58">
      <c r="AA138" s="148"/>
    </row>
    <row r="139" spans="3:58">
      <c r="C139" s="148"/>
      <c r="P139" s="148"/>
    </row>
    <row r="148" spans="1:7">
      <c r="A148" s="131"/>
    </row>
    <row r="149" spans="1:7">
      <c r="B149" s="149" t="s">
        <v>74</v>
      </c>
      <c r="C149" s="150" t="s">
        <v>210</v>
      </c>
      <c r="D149" s="151" t="s">
        <v>211</v>
      </c>
      <c r="E149" s="152" t="s">
        <v>212</v>
      </c>
    </row>
    <row r="150" spans="1:7" ht="12.75">
      <c r="B150" s="133" t="str">
        <f>Comb_scrd[[#Headers],[Cisco FirePOWER 8350]]</f>
        <v>Cisco FirePOWER 8350</v>
      </c>
      <c r="C150" s="395">
        <f>HLOOKUP(IPS_Security_table94[[#This Row],[Product]],Comb_scrd[#All],11,FALSE)</f>
        <v>0.99511897498474677</v>
      </c>
      <c r="D150" s="136">
        <f>HLOOKUP(IPS_Security_table94[[#This Row],[Product]],Comb_scrd[#All],12,FALSE)</f>
        <v>1</v>
      </c>
      <c r="E150" s="136">
        <f>HLOOKUP(IPS_Security_table94[[#This Row],[Product]],Comb_scrd[#All],13,FALSE)</f>
        <v>0.99295774647887325</v>
      </c>
    </row>
    <row r="151" spans="1:7">
      <c r="B151" s="133" t="str">
        <f>Comb_scrd[[#Headers],[Fortinet FortiGate-1500D]]</f>
        <v>Fortinet FortiGate-1500D</v>
      </c>
      <c r="C151" s="155">
        <f>HLOOKUP(IPS_Security_table94[[#This Row],[Product]],Comb_scrd[#All],11,FALSE)</f>
        <v>0.99877974374618672</v>
      </c>
      <c r="D151" s="153">
        <f>HLOOKUP(IPS_Security_table94[[#This Row],[Product]],Comb_scrd[#All],12,FALSE)</f>
        <v>0.99145299145299148</v>
      </c>
      <c r="E151" s="136">
        <f>HLOOKUP(IPS_Security_table94[[#This Row],[Product]],Comb_scrd[#All],13,FALSE)</f>
        <v>0.99295774647887325</v>
      </c>
    </row>
    <row r="152" spans="1:7">
      <c r="B152" s="133" t="str">
        <f>Comb_scrd[[#Headers],[HP TippingPoint S7500NX]]</f>
        <v>HP TippingPoint S7500NX</v>
      </c>
      <c r="C152" s="155">
        <f>HLOOKUP(IPS_Security_table94[[#This Row],[Product]],Comb_scrd[#All],11,FALSE)</f>
        <v>0.99023794996949355</v>
      </c>
      <c r="D152" s="136">
        <f>HLOOKUP(IPS_Security_table94[[#This Row],[Product]],Comb_scrd[#All],12,FALSE)</f>
        <v>0.99145299145299148</v>
      </c>
      <c r="E152" s="136">
        <f>HLOOKUP(IPS_Security_table94[[#This Row],[Product]],Comb_scrd[#All],13,FALSE)</f>
        <v>0.92253521126760563</v>
      </c>
    </row>
    <row r="153" spans="1:7">
      <c r="B153" s="133" t="str">
        <f>Comb_scrd[[#Headers],[IBM Security Network Protection XGS 5100]]</f>
        <v>IBM Security Network Protection XGS 5100</v>
      </c>
      <c r="C153" s="155">
        <f>HLOOKUP(IPS_Security_table94[[#This Row],[Product]],Comb_scrd[#All],11,FALSE)</f>
        <v>0.98840756558877363</v>
      </c>
      <c r="D153" s="153">
        <f>HLOOKUP(IPS_Security_table94[[#This Row],[Product]],Comb_scrd[#All],12,FALSE)</f>
        <v>1</v>
      </c>
      <c r="E153" s="136">
        <f>HLOOKUP(IPS_Security_table94[[#This Row],[Product]],Comb_scrd[#All],13,FALSE)</f>
        <v>0.9859154929577465</v>
      </c>
    </row>
    <row r="154" spans="1:7">
      <c r="B154" s="133" t="str">
        <f>Comb_scrd[[#Headers],[IBM Security Network Protection XGS 7100]]</f>
        <v>IBM Security Network Protection XGS 7100</v>
      </c>
      <c r="C154" s="155">
        <f>HLOOKUP(IPS_Security_table94[[#This Row],[Product]],Comb_scrd[#All],11,FALSE)</f>
        <v>0.98840756558877363</v>
      </c>
      <c r="D154" s="153">
        <f>HLOOKUP(IPS_Security_table94[[#This Row],[Product]],Comb_scrd[#All],12,FALSE)</f>
        <v>1</v>
      </c>
      <c r="E154" s="136">
        <f>HLOOKUP(IPS_Security_table94[[#This Row],[Product]],Comb_scrd[#All],13,FALSE)</f>
        <v>0.9859154929577465</v>
      </c>
    </row>
    <row r="155" spans="1:7">
      <c r="B155" s="133" t="str">
        <f>Comb_scrd[[#Headers],[Palo Alto Networks PA-5020]]</f>
        <v>Palo Alto Networks PA-5020</v>
      </c>
      <c r="C155" s="155">
        <f>HLOOKUP(IPS_Security_table94[[#This Row],[Product]],Comb_scrd[#All],11,FALSE)</f>
        <v>0.97620500305064062</v>
      </c>
      <c r="D155" s="153">
        <f>HLOOKUP(IPS_Security_table94[[#This Row],[Product]],Comb_scrd[#All],12,FALSE)</f>
        <v>0.98290598290598286</v>
      </c>
      <c r="E155" s="136">
        <f>HLOOKUP(IPS_Security_table94[[#This Row],[Product]],Comb_scrd[#All],13,FALSE)</f>
        <v>0.96478873239436624</v>
      </c>
    </row>
    <row r="157" spans="1:7">
      <c r="A157" s="131"/>
    </row>
    <row r="158" spans="1:7" ht="12.75">
      <c r="B158" s="154" t="s">
        <v>1</v>
      </c>
      <c r="C158" s="150" t="s">
        <v>464</v>
      </c>
      <c r="D158" s="395" t="s">
        <v>482</v>
      </c>
      <c r="E158" s="150" t="s">
        <v>463</v>
      </c>
      <c r="F158" s="150" t="s">
        <v>461</v>
      </c>
      <c r="G158" s="150" t="s">
        <v>462</v>
      </c>
    </row>
    <row r="159" spans="1:7" ht="12.75">
      <c r="B159" s="133" t="str">
        <f>Comb_scrd[[#Headers],[Cisco FirePOWER 8350]]</f>
        <v>Cisco FirePOWER 8350</v>
      </c>
      <c r="C159" s="395">
        <v>1</v>
      </c>
      <c r="D159" s="155">
        <v>1</v>
      </c>
      <c r="E159" s="395">
        <v>1</v>
      </c>
      <c r="F159" s="395">
        <v>0.99402985074626871</v>
      </c>
      <c r="G159" s="395">
        <v>1</v>
      </c>
    </row>
    <row r="160" spans="1:7">
      <c r="B160" s="133" t="str">
        <f>Comb_scrd[[#Headers],[Fortinet FortiGate-1500D]]</f>
        <v>Fortinet FortiGate-1500D</v>
      </c>
      <c r="C160" s="155">
        <v>1</v>
      </c>
      <c r="D160" s="155">
        <v>0.98750000000000004</v>
      </c>
      <c r="E160" s="155">
        <v>1</v>
      </c>
      <c r="F160" s="155">
        <v>0.9955223880597015</v>
      </c>
      <c r="G160" s="155">
        <v>1</v>
      </c>
    </row>
    <row r="161" spans="2:7">
      <c r="B161" s="133" t="str">
        <f>Comb_scrd[[#Headers],[HP TippingPoint S7500NX]]</f>
        <v>HP TippingPoint S7500NX</v>
      </c>
      <c r="C161" s="155">
        <v>1</v>
      </c>
      <c r="D161" s="155">
        <v>1</v>
      </c>
      <c r="E161" s="155">
        <v>1</v>
      </c>
      <c r="F161" s="155">
        <v>0.97761194029850751</v>
      </c>
      <c r="G161" s="155">
        <v>1</v>
      </c>
    </row>
    <row r="162" spans="2:7">
      <c r="B162" s="133" t="str">
        <f>Comb_scrd[[#Headers],[IBM Security Network Protection XGS 5100]]</f>
        <v>IBM Security Network Protection XGS 5100</v>
      </c>
      <c r="C162" s="155">
        <v>0.96511627906976749</v>
      </c>
      <c r="D162" s="155">
        <v>0.97499999999999998</v>
      </c>
      <c r="E162" s="155">
        <v>1</v>
      </c>
      <c r="F162" s="155">
        <v>0.98208955223880601</v>
      </c>
      <c r="G162" s="155">
        <v>1</v>
      </c>
    </row>
    <row r="163" spans="2:7">
      <c r="B163" s="133" t="str">
        <f>Comb_scrd[[#Headers],[IBM Security Network Protection XGS 7100]]</f>
        <v>IBM Security Network Protection XGS 7100</v>
      </c>
      <c r="C163" s="155">
        <v>0.96511627906976749</v>
      </c>
      <c r="D163" s="155">
        <v>0.97499999999999998</v>
      </c>
      <c r="E163" s="155">
        <v>1</v>
      </c>
      <c r="F163" s="155">
        <v>0.98208955223880601</v>
      </c>
      <c r="G163" s="155">
        <v>1</v>
      </c>
    </row>
    <row r="164" spans="2:7" ht="12.75">
      <c r="B164" s="133" t="str">
        <f>Comb_scrd[[#Headers],[Palo Alto Networks PA-5020]]</f>
        <v>Palo Alto Networks PA-5020</v>
      </c>
      <c r="C164" s="155">
        <v>1</v>
      </c>
      <c r="D164" s="395">
        <v>1</v>
      </c>
      <c r="E164" s="155">
        <v>0.96721311475409832</v>
      </c>
      <c r="F164" s="155">
        <v>0.96567164179104481</v>
      </c>
      <c r="G164" s="155">
        <v>0.97959183673469385</v>
      </c>
    </row>
    <row r="167" spans="2:7">
      <c r="B167" s="149" t="s">
        <v>74</v>
      </c>
      <c r="C167" s="396" t="s">
        <v>719</v>
      </c>
    </row>
    <row r="168" spans="2:7">
      <c r="B168" s="397" t="str">
        <f>Comb_scrd[[#Headers],[Cisco FirePOWER 8350]]</f>
        <v>Cisco FirePOWER 8350</v>
      </c>
      <c r="C168" s="136">
        <f>HLOOKUP(Table8[[#This Row],[Product]],Comb_scrd[#All],19,FALSE)</f>
        <v>0.99511000000000005</v>
      </c>
    </row>
    <row r="169" spans="2:7">
      <c r="B169" s="397" t="str">
        <f>Comb_scrd[[#Headers],[Fortinet FortiGate-1500D]]</f>
        <v>Fortinet FortiGate-1500D</v>
      </c>
      <c r="C169" s="136">
        <f>HLOOKUP(Table8[[#This Row],[Product]],Comb_scrd[#All],19,FALSE)</f>
        <v>0.9853181076672104</v>
      </c>
    </row>
    <row r="170" spans="2:7">
      <c r="B170" s="397" t="str">
        <f>Comb_scrd[[#Headers],[HP TippingPoint S7500NX]]</f>
        <v>HP TippingPoint S7500NX</v>
      </c>
      <c r="C170" s="136">
        <f>HLOOKUP(Table8[[#This Row],[Product]],Comb_scrd[#All],19,FALSE)</f>
        <v>0.74714518760195758</v>
      </c>
    </row>
    <row r="171" spans="2:7">
      <c r="B171" s="397" t="str">
        <f>Comb_scrd[[#Headers],[IBM Security Network Protection XGS 5100]]</f>
        <v>IBM Security Network Protection XGS 5100</v>
      </c>
      <c r="C171" s="136">
        <f>HLOOKUP(Table8[[#This Row],[Product]],Comb_scrd[#All],19,FALSE)</f>
        <v>0.94616999999999996</v>
      </c>
    </row>
    <row r="172" spans="2:7">
      <c r="B172" s="397" t="str">
        <f>Comb_scrd[[#Headers],[IBM Security Network Protection XGS 7100]]</f>
        <v>IBM Security Network Protection XGS 7100</v>
      </c>
      <c r="C172" s="136">
        <f>HLOOKUP(Table8[[#This Row],[Product]],Comb_scrd[#All],19,FALSE)</f>
        <v>0.94616999999999996</v>
      </c>
    </row>
    <row r="173" spans="2:7">
      <c r="B173" s="398" t="str">
        <f>Comb_scrd[[#Headers],[Palo Alto Networks PA-5020]]</f>
        <v>Palo Alto Networks PA-5020</v>
      </c>
      <c r="C173" s="136">
        <f>HLOOKUP(Table8[[#This Row],[Product]],Comb_scrd[#All],19,FALSE)</f>
        <v>1</v>
      </c>
    </row>
    <row r="174" spans="2:7">
      <c r="C174" s="141"/>
    </row>
    <row r="175" spans="2:7">
      <c r="C175" s="141"/>
    </row>
    <row r="176" spans="2:7">
      <c r="C176" s="141"/>
    </row>
    <row r="177" spans="1:15">
      <c r="C177" s="141"/>
    </row>
    <row r="178" spans="1:15">
      <c r="C178" s="141"/>
    </row>
    <row r="179" spans="1:15">
      <c r="C179" s="141"/>
    </row>
    <row r="180" spans="1:15">
      <c r="C180" s="141"/>
    </row>
    <row r="181" spans="1:15">
      <c r="C181" s="141"/>
    </row>
    <row r="182" spans="1:15">
      <c r="C182" s="141"/>
    </row>
    <row r="183" spans="1:15">
      <c r="C183" s="141"/>
    </row>
    <row r="184" spans="1:15">
      <c r="C184" s="141"/>
    </row>
    <row r="185" spans="1:15">
      <c r="C185" s="141"/>
    </row>
    <row r="186" spans="1:15">
      <c r="C186" s="141"/>
    </row>
    <row r="187" spans="1:15">
      <c r="C187" s="141"/>
    </row>
    <row r="188" spans="1:15">
      <c r="C188" s="141"/>
    </row>
    <row r="189" spans="1:15">
      <c r="C189" s="141"/>
    </row>
    <row r="192" spans="1:15">
      <c r="A192" s="131"/>
      <c r="M192" s="136"/>
      <c r="N192" s="136"/>
      <c r="O192" s="136"/>
    </row>
    <row r="193" spans="2:12">
      <c r="B193" s="156"/>
      <c r="C193" s="140"/>
      <c r="D193" s="141"/>
      <c r="E193" s="140"/>
      <c r="F193" s="136"/>
      <c r="G193" s="136"/>
      <c r="H193" s="136"/>
      <c r="I193" s="141"/>
      <c r="J193" s="141"/>
      <c r="K193" s="136"/>
      <c r="L193" s="141"/>
    </row>
    <row r="219" spans="1:1">
      <c r="A219" s="131"/>
    </row>
    <row r="246" spans="1:1">
      <c r="A246" s="131"/>
    </row>
    <row r="270" spans="1:7">
      <c r="G270" s="157"/>
    </row>
    <row r="272" spans="1:7">
      <c r="A272" s="131"/>
    </row>
    <row r="274" spans="1:9">
      <c r="B274" s="158" t="s">
        <v>74</v>
      </c>
      <c r="C274" s="159" t="s">
        <v>185</v>
      </c>
      <c r="D274" s="159" t="s">
        <v>186</v>
      </c>
      <c r="E274" s="159" t="s">
        <v>187</v>
      </c>
      <c r="F274" s="159" t="s">
        <v>188</v>
      </c>
      <c r="G274" s="159" t="s">
        <v>189</v>
      </c>
      <c r="H274" s="159" t="s">
        <v>190</v>
      </c>
      <c r="I274" s="159" t="s">
        <v>191</v>
      </c>
    </row>
    <row r="275" spans="1:9">
      <c r="B275" s="133" t="str">
        <f>Comb_scrd[[#Headers],[Cisco FirePOWER 8350]]</f>
        <v>Cisco FirePOWER 8350</v>
      </c>
      <c r="C275" s="160" t="str">
        <f>IF(HLOOKUP(IPS_Security_table10[Product],Comb_scrd[#All],28,FALSE)&lt;&gt;1,"FAIL","PASS")</f>
        <v>PASS</v>
      </c>
      <c r="D275" s="160" t="str">
        <f>IF(HLOOKUP(IPS_Security_table10[Product],Comb_scrd[#All],44,FALSE)&lt;&gt;1,"FAIL","PASS")</f>
        <v>PASS</v>
      </c>
      <c r="E275" s="160" t="str">
        <f>IF(HLOOKUP(IPS_Security_table10[Product],Comb_scrd[#All],69,FALSE)&lt;&gt;1,"FAIL","PASS")</f>
        <v>PASS</v>
      </c>
      <c r="F275" s="160" t="str">
        <f>IF(HLOOKUP(IPS_Security_table10[Product],Comb_scrd[#All],93,FALSE)&lt;&gt;1,"FAIL","PASS")</f>
        <v>PASS</v>
      </c>
      <c r="G275" s="160" t="str">
        <f>IF(HLOOKUP(IPS_Security_table10[Product],Comb_scrd[#All],97,FALSE)&lt;&gt;1,"FAIL","PASS")</f>
        <v>PASS</v>
      </c>
      <c r="H275" s="161" t="str">
        <f>IF(HLOOKUP(IPS_Security_table10[Product],Comb_scrd[#All],114,FALSE)&lt;&gt;1,"FAIL","PASS")</f>
        <v>PASS</v>
      </c>
      <c r="I275" s="161" t="str">
        <f>IF(HLOOKUP(IPS_Security_table10[Product],Comb_scrd[#All],130,FALSE)&lt;&gt;1,"FAIL","PASS")</f>
        <v>PASS</v>
      </c>
    </row>
    <row r="276" spans="1:9">
      <c r="B276" s="133" t="str">
        <f>Comb_scrd[[#Headers],[Fortinet FortiGate-1500D]]</f>
        <v>Fortinet FortiGate-1500D</v>
      </c>
      <c r="C276" s="161" t="str">
        <f>IF(HLOOKUP(IPS_Security_table10[Product],Comb_scrd[#All],28,FALSE)&lt;&gt;1,"FAIL","PASS")</f>
        <v>PASS</v>
      </c>
      <c r="D276" s="161" t="str">
        <f>IF(HLOOKUP(IPS_Security_table10[Product],Comb_scrd[#All],44,FALSE)&lt;&gt;1,"FAIL","PASS")</f>
        <v>PASS</v>
      </c>
      <c r="E276" s="161" t="str">
        <f>IF(HLOOKUP(IPS_Security_table10[Product],Comb_scrd[#All],69,FALSE)&lt;&gt;1,"FAIL","PASS")</f>
        <v>PASS</v>
      </c>
      <c r="F276" s="161" t="str">
        <f>IF(HLOOKUP(IPS_Security_table10[Product],Comb_scrd[#All],93,FALSE)&lt;&gt;1,"FAIL","PASS")</f>
        <v>PASS</v>
      </c>
      <c r="G276" s="161" t="str">
        <f>IF(HLOOKUP(IPS_Security_table10[Product],Comb_scrd[#All],97,FALSE)&lt;&gt;1,"FAIL","PASS")</f>
        <v>PASS</v>
      </c>
      <c r="H276" s="161" t="str">
        <f>IF(HLOOKUP(IPS_Security_table10[Product],Comb_scrd[#All],114,FALSE)&lt;&gt;1,"FAIL","PASS")</f>
        <v>PASS</v>
      </c>
      <c r="I276" s="161" t="str">
        <f>IF(HLOOKUP(IPS_Security_table10[Product],Comb_scrd[#All],130,FALSE)&lt;&gt;1,"FAIL","PASS")</f>
        <v>PASS</v>
      </c>
    </row>
    <row r="277" spans="1:9">
      <c r="B277" s="133" t="str">
        <f>Comb_scrd[[#Headers],[HP TippingPoint S7500NX]]</f>
        <v>HP TippingPoint S7500NX</v>
      </c>
      <c r="C277" s="161" t="str">
        <f>IF(HLOOKUP(IPS_Security_table10[Product],Comb_scrd[#All],28,FALSE)&lt;&gt;1,"FAIL","PASS")</f>
        <v>PASS</v>
      </c>
      <c r="D277" s="161" t="str">
        <f>IF(HLOOKUP(IPS_Security_table10[Product],Comb_scrd[#All],44,FALSE)&lt;&gt;1,"FAIL","PASS")</f>
        <v>PASS</v>
      </c>
      <c r="E277" s="161" t="str">
        <f>IF(HLOOKUP(IPS_Security_table10[Product],Comb_scrd[#All],69,FALSE)&lt;&gt;1,"FAIL","PASS")</f>
        <v>PASS</v>
      </c>
      <c r="F277" s="161" t="str">
        <f>IF(HLOOKUP(IPS_Security_table10[Product],Comb_scrd[#All],93,FALSE)&lt;&gt;1,"FAIL","PASS")</f>
        <v>PASS</v>
      </c>
      <c r="G277" s="161" t="str">
        <f>IF(HLOOKUP(IPS_Security_table10[Product],Comb_scrd[#All],97,FALSE)&lt;&gt;1,"FAIL","PASS")</f>
        <v>PASS</v>
      </c>
      <c r="H277" s="161" t="str">
        <f>IF(HLOOKUP(IPS_Security_table10[Product],Comb_scrd[#All],114,FALSE)&lt;&gt;1,"FAIL","PASS")</f>
        <v>PASS</v>
      </c>
      <c r="I277" s="161" t="str">
        <f>IF(HLOOKUP(IPS_Security_table10[Product],Comb_scrd[#All],130,FALSE)&lt;&gt;1,"FAIL","PASS")</f>
        <v>PASS</v>
      </c>
    </row>
    <row r="278" spans="1:9">
      <c r="B278" s="133" t="str">
        <f>Comb_scrd[[#Headers],[IBM Security Network Protection XGS 5100]]</f>
        <v>IBM Security Network Protection XGS 5100</v>
      </c>
      <c r="C278" s="161" t="str">
        <f>IF(HLOOKUP(IPS_Security_table10[Product],Comb_scrd[#All],28,FALSE)&lt;&gt;1,"FAIL","PASS")</f>
        <v>PASS</v>
      </c>
      <c r="D278" s="161" t="str">
        <f>IF(HLOOKUP(IPS_Security_table10[Product],Comb_scrd[#All],44,FALSE)&lt;&gt;1,"FAIL","PASS")</f>
        <v>PASS</v>
      </c>
      <c r="E278" s="161" t="str">
        <f>IF(HLOOKUP(IPS_Security_table10[Product],Comb_scrd[#All],69,FALSE)&lt;&gt;1,"FAIL","PASS")</f>
        <v>PASS</v>
      </c>
      <c r="F278" s="161" t="str">
        <f>IF(HLOOKUP(IPS_Security_table10[Product],Comb_scrd[#All],93,FALSE)&lt;&gt;1,"FAIL","PASS")</f>
        <v>PASS</v>
      </c>
      <c r="G278" s="161" t="str">
        <f>IF(HLOOKUP(IPS_Security_table10[Product],Comb_scrd[#All],97,FALSE)&lt;&gt;1,"FAIL","PASS")</f>
        <v>PASS</v>
      </c>
      <c r="H278" s="161" t="str">
        <f>IF(HLOOKUP(IPS_Security_table10[Product],Comb_scrd[#All],114,FALSE)&lt;&gt;1,"FAIL","PASS")</f>
        <v>PASS</v>
      </c>
      <c r="I278" s="161" t="str">
        <f>IF(HLOOKUP(IPS_Security_table10[Product],Comb_scrd[#All],130,FALSE)&lt;&gt;1,"FAIL","PASS")</f>
        <v>PASS</v>
      </c>
    </row>
    <row r="279" spans="1:9">
      <c r="B279" s="133" t="str">
        <f>Comb_scrd[[#Headers],[IBM Security Network Protection XGS 7100]]</f>
        <v>IBM Security Network Protection XGS 7100</v>
      </c>
      <c r="C279" s="161" t="str">
        <f>IF(HLOOKUP(IPS_Security_table10[Product],Comb_scrd[#All],28,FALSE)&lt;&gt;1,"FAIL","PASS")</f>
        <v>PASS</v>
      </c>
      <c r="D279" s="161" t="str">
        <f>IF(HLOOKUP(IPS_Security_table10[Product],Comb_scrd[#All],44,FALSE)&lt;&gt;1,"FAIL","PASS")</f>
        <v>PASS</v>
      </c>
      <c r="E279" s="161" t="str">
        <f>IF(HLOOKUP(IPS_Security_table10[Product],Comb_scrd[#All],69,FALSE)&lt;&gt;1,"FAIL","PASS")</f>
        <v>PASS</v>
      </c>
      <c r="F279" s="161" t="str">
        <f>IF(HLOOKUP(IPS_Security_table10[Product],Comb_scrd[#All],93,FALSE)&lt;&gt;1,"FAIL","PASS")</f>
        <v>PASS</v>
      </c>
      <c r="G279" s="161" t="str">
        <f>IF(HLOOKUP(IPS_Security_table10[Product],Comb_scrd[#All],97,FALSE)&lt;&gt;1,"FAIL","PASS")</f>
        <v>PASS</v>
      </c>
      <c r="H279" s="161" t="str">
        <f>IF(HLOOKUP(IPS_Security_table10[Product],Comb_scrd[#All],114,FALSE)&lt;&gt;1,"FAIL","PASS")</f>
        <v>PASS</v>
      </c>
      <c r="I279" s="161" t="str">
        <f>IF(HLOOKUP(IPS_Security_table10[Product],Comb_scrd[#All],130,FALSE)&lt;&gt;1,"FAIL","PASS")</f>
        <v>PASS</v>
      </c>
    </row>
    <row r="280" spans="1:9">
      <c r="B280" s="133" t="str">
        <f>Comb_scrd[[#Headers],[Palo Alto Networks PA-5020]]</f>
        <v>Palo Alto Networks PA-5020</v>
      </c>
      <c r="C280" s="161" t="str">
        <f>IF(HLOOKUP(IPS_Security_table10[Product],Comb_scrd[#All],28,FALSE)&lt;&gt;1,"FAIL","PASS")</f>
        <v>PASS</v>
      </c>
      <c r="D280" s="161" t="str">
        <f>IF(HLOOKUP(IPS_Security_table10[Product],Comb_scrd[#All],44,FALSE)&lt;&gt;1,"FAIL","PASS")</f>
        <v>PASS</v>
      </c>
      <c r="E280" s="161" t="str">
        <f>IF(HLOOKUP(IPS_Security_table10[Product],Comb_scrd[#All],69,FALSE)&lt;&gt;1,"FAIL","PASS")</f>
        <v>PASS</v>
      </c>
      <c r="F280" s="161" t="str">
        <f>IF(HLOOKUP(IPS_Security_table10[Product],Comb_scrd[#All],93,FALSE)&lt;&gt;1,"FAIL","PASS")</f>
        <v>PASS</v>
      </c>
      <c r="G280" s="161" t="str">
        <f>IF(HLOOKUP(IPS_Security_table10[Product],Comb_scrd[#All],97,FALSE)&lt;&gt;1,"FAIL","PASS")</f>
        <v>PASS</v>
      </c>
      <c r="H280" s="161" t="str">
        <f>IF(HLOOKUP(IPS_Security_table10[Product],Comb_scrd[#All],114,FALSE)&lt;&gt;1,"FAIL","PASS")</f>
        <v>PASS</v>
      </c>
      <c r="I280" s="161" t="str">
        <f>IF(HLOOKUP(IPS_Security_table10[Product],Comb_scrd[#All],130,FALSE)&lt;&gt;1,"FAIL","PASS")</f>
        <v>PASS</v>
      </c>
    </row>
    <row r="281" spans="1:9">
      <c r="A281" s="131"/>
    </row>
    <row r="283" spans="1:9" ht="24">
      <c r="B283" s="162" t="s">
        <v>74</v>
      </c>
      <c r="C283" s="159" t="s">
        <v>192</v>
      </c>
      <c r="D283" s="159" t="s">
        <v>193</v>
      </c>
      <c r="E283" s="159" t="s">
        <v>194</v>
      </c>
      <c r="F283" s="159" t="s">
        <v>195</v>
      </c>
      <c r="G283" s="159" t="s">
        <v>196</v>
      </c>
      <c r="H283" s="135" t="s">
        <v>133</v>
      </c>
      <c r="I283" s="162" t="s">
        <v>499</v>
      </c>
    </row>
    <row r="284" spans="1:9">
      <c r="B284" s="133" t="str">
        <f>Comb_scrd[[#Headers],[Cisco FirePOWER 8350]]</f>
        <v>Cisco FirePOWER 8350</v>
      </c>
      <c r="C284" s="160" t="str">
        <f>IF(HLOOKUP(IPS_security_table11[Product],Comb_scrd[#All],135,FALSE)&lt;&gt;1,"FAIL","PASS")</f>
        <v>PASS</v>
      </c>
      <c r="D284" s="160" t="str">
        <f>IF(HLOOKUP(IPS_security_table11[Product],Comb_scrd[#All],146,FALSE)&lt;&gt;1,"FAIL","PASS")</f>
        <v>PASS</v>
      </c>
      <c r="E284" s="160" t="str">
        <f>IF(HLOOKUP(IPS_security_table11[Product],Comb_scrd[#All],161,FALSE)&lt;&gt;1,"FAIL","PASS")</f>
        <v>PASS</v>
      </c>
      <c r="F284" s="160" t="str">
        <f>IF(HLOOKUP(IPS_security_table11[Product],Comb_scrd[#All],170,FALSE)&lt;&gt;1,"FAIL","PASS")</f>
        <v>PASS</v>
      </c>
      <c r="G284" s="160" t="str">
        <f>IF(HLOOKUP(IPS_security_table11[Product],Comb_scrd[#All],174,FALSE)&lt;&gt;1,"FAIL","PASS")</f>
        <v>PASS</v>
      </c>
      <c r="H284" s="160" t="str">
        <f>IF(HLOOKUP(IPS_security_table11[Product],Comb_scrd[#All],176,FALSE)&lt;&gt;1,"FAIL","PASS")</f>
        <v>PASS</v>
      </c>
      <c r="I284" s="163">
        <f>HLOOKUP(IPS_security_table11[Product],Inputs_table6[#All],2,FALSE)</f>
        <v>1</v>
      </c>
    </row>
    <row r="285" spans="1:9">
      <c r="B285" s="133" t="str">
        <f>Comb_scrd[[#Headers],[Fortinet FortiGate-1500D]]</f>
        <v>Fortinet FortiGate-1500D</v>
      </c>
      <c r="C285" s="161" t="str">
        <f>IF(HLOOKUP(IPS_security_table11[Product],Comb_scrd[#All],135,FALSE)&lt;&gt;1,"FAIL","PASS")</f>
        <v>PASS</v>
      </c>
      <c r="D285" s="161" t="str">
        <f>IF(HLOOKUP(IPS_security_table11[Product],Comb_scrd[#All],146,FALSE)&lt;&gt;1,"FAIL","PASS")</f>
        <v>PASS</v>
      </c>
      <c r="E285" s="161" t="str">
        <f>IF(HLOOKUP(IPS_security_table11[Product],Comb_scrd[#All],161,FALSE)&lt;&gt;1,"FAIL","PASS")</f>
        <v>PASS</v>
      </c>
      <c r="F285" s="161" t="str">
        <f>IF(HLOOKUP(IPS_security_table11[Product],Comb_scrd[#All],170,FALSE)&lt;&gt;1,"FAIL","PASS")</f>
        <v>PASS</v>
      </c>
      <c r="G285" s="161" t="str">
        <f>IF(HLOOKUP(IPS_security_table11[Product],Comb_scrd[#All],174,FALSE)&lt;&gt;1,"FAIL","PASS")</f>
        <v>PASS</v>
      </c>
      <c r="H285" s="161" t="str">
        <f>IF(HLOOKUP(IPS_security_table11[Product],Comb_scrd[#All],176,FALSE)&lt;&gt;1,"FAIL","PASS")</f>
        <v>PASS</v>
      </c>
      <c r="I285" s="164">
        <f>HLOOKUP(IPS_security_table11[Product],Inputs_table6[#All],2,FALSE)</f>
        <v>1</v>
      </c>
    </row>
    <row r="286" spans="1:9">
      <c r="B286" s="133" t="str">
        <f>Comb_scrd[[#Headers],[HP TippingPoint S7500NX]]</f>
        <v>HP TippingPoint S7500NX</v>
      </c>
      <c r="C286" s="160" t="str">
        <f>IF(HLOOKUP(IPS_security_table11[Product],Comb_scrd[#All],135,FALSE)&lt;&gt;1,"FAIL","PASS")</f>
        <v>PASS</v>
      </c>
      <c r="D286" s="160" t="str">
        <f>IF(HLOOKUP(IPS_security_table11[Product],Comb_scrd[#All],146,FALSE)&lt;&gt;1,"FAIL","PASS")</f>
        <v>PASS</v>
      </c>
      <c r="E286" s="160" t="str">
        <f>IF(HLOOKUP(IPS_security_table11[Product],Comb_scrd[#All],161,FALSE)&lt;&gt;1,"FAIL","PASS")</f>
        <v>PASS</v>
      </c>
      <c r="F286" s="160" t="str">
        <f>IF(HLOOKUP(IPS_security_table11[Product],Comb_scrd[#All],170,FALSE)&lt;&gt;1,"FAIL","PASS")</f>
        <v>PASS</v>
      </c>
      <c r="G286" s="160" t="str">
        <f>IF(HLOOKUP(IPS_security_table11[Product],Comb_scrd[#All],174,FALSE)&lt;&gt;1,"FAIL","PASS")</f>
        <v>PASS</v>
      </c>
      <c r="H286" s="160" t="str">
        <f>IF(HLOOKUP(IPS_security_table11[Product],Comb_scrd[#All],176,FALSE)&lt;&gt;1,"FAIL","PASS")</f>
        <v>PASS</v>
      </c>
      <c r="I286" s="163">
        <f>HLOOKUP(IPS_security_table11[Product],Inputs_table6[#All],2,FALSE)</f>
        <v>1</v>
      </c>
    </row>
    <row r="287" spans="1:9">
      <c r="B287" s="133" t="str">
        <f>Comb_scrd[[#Headers],[IBM Security Network Protection XGS 5100]]</f>
        <v>IBM Security Network Protection XGS 5100</v>
      </c>
      <c r="C287" s="161" t="str">
        <f>IF(HLOOKUP(IPS_security_table11[Product],Comb_scrd[#All],135,FALSE)&lt;&gt;1,"FAIL","PASS")</f>
        <v>PASS</v>
      </c>
      <c r="D287" s="161" t="str">
        <f>IF(HLOOKUP(IPS_security_table11[Product],Comb_scrd[#All],146,FALSE)&lt;&gt;1,"FAIL","PASS")</f>
        <v>PASS</v>
      </c>
      <c r="E287" s="161" t="str">
        <f>IF(HLOOKUP(IPS_security_table11[Product],Comb_scrd[#All],161,FALSE)&lt;&gt;1,"FAIL","PASS")</f>
        <v>PASS</v>
      </c>
      <c r="F287" s="161" t="str">
        <f>IF(HLOOKUP(IPS_security_table11[Product],Comb_scrd[#All],170,FALSE)&lt;&gt;1,"FAIL","PASS")</f>
        <v>PASS</v>
      </c>
      <c r="G287" s="161" t="str">
        <f>IF(HLOOKUP(IPS_security_table11[Product],Comb_scrd[#All],174,FALSE)&lt;&gt;1,"FAIL","PASS")</f>
        <v>PASS</v>
      </c>
      <c r="H287" s="161" t="str">
        <f>IF(HLOOKUP(IPS_security_table11[Product],Comb_scrd[#All],176,FALSE)&lt;&gt;1,"FAIL","PASS")</f>
        <v>PASS</v>
      </c>
      <c r="I287" s="164">
        <f>HLOOKUP(IPS_security_table11[Product],Inputs_table6[#All],2,FALSE)</f>
        <v>1</v>
      </c>
    </row>
    <row r="288" spans="1:9">
      <c r="B288" s="133" t="str">
        <f>Comb_scrd[[#Headers],[IBM Security Network Protection XGS 7100]]</f>
        <v>IBM Security Network Protection XGS 7100</v>
      </c>
      <c r="C288" s="161" t="str">
        <f>IF(HLOOKUP(IPS_security_table11[Product],Comb_scrd[#All],135,FALSE)&lt;&gt;1,"FAIL","PASS")</f>
        <v>PASS</v>
      </c>
      <c r="D288" s="161" t="str">
        <f>IF(HLOOKUP(IPS_security_table11[Product],Comb_scrd[#All],146,FALSE)&lt;&gt;1,"FAIL","PASS")</f>
        <v>PASS</v>
      </c>
      <c r="E288" s="161" t="str">
        <f>IF(HLOOKUP(IPS_security_table11[Product],Comb_scrd[#All],161,FALSE)&lt;&gt;1,"FAIL","PASS")</f>
        <v>PASS</v>
      </c>
      <c r="F288" s="161" t="str">
        <f>IF(HLOOKUP(IPS_security_table11[Product],Comb_scrd[#All],170,FALSE)&lt;&gt;1,"FAIL","PASS")</f>
        <v>PASS</v>
      </c>
      <c r="G288" s="161" t="str">
        <f>IF(HLOOKUP(IPS_security_table11[Product],Comb_scrd[#All],174,FALSE)&lt;&gt;1,"FAIL","PASS")</f>
        <v>PASS</v>
      </c>
      <c r="H288" s="161" t="str">
        <f>IF(HLOOKUP(IPS_security_table11[Product],Comb_scrd[#All],176,FALSE)&lt;&gt;1,"FAIL","PASS")</f>
        <v>PASS</v>
      </c>
      <c r="I288" s="164">
        <f>HLOOKUP(IPS_security_table11[Product],Inputs_table6[#All],2,FALSE)</f>
        <v>1</v>
      </c>
    </row>
    <row r="289" spans="1:614">
      <c r="B289" s="133" t="str">
        <f>Comb_scrd[[#Headers],[Palo Alto Networks PA-5020]]</f>
        <v>Palo Alto Networks PA-5020</v>
      </c>
      <c r="C289" s="161" t="str">
        <f>IF(HLOOKUP(IPS_security_table11[Product],Comb_scrd[#All],135,FALSE)&lt;&gt;1,"FAIL","PASS")</f>
        <v>PASS</v>
      </c>
      <c r="D289" s="161" t="str">
        <f>IF(HLOOKUP(IPS_security_table11[Product],Comb_scrd[#All],146,FALSE)&lt;&gt;1,"FAIL","PASS")</f>
        <v>PASS</v>
      </c>
      <c r="E289" s="161" t="str">
        <f>IF(HLOOKUP(IPS_security_table11[Product],Comb_scrd[#All],161,FALSE)&lt;&gt;1,"FAIL","PASS")</f>
        <v>PASS</v>
      </c>
      <c r="F289" s="161" t="str">
        <f>IF(HLOOKUP(IPS_security_table11[Product],Comb_scrd[#All],170,FALSE)&lt;&gt;1,"FAIL","PASS")</f>
        <v>PASS</v>
      </c>
      <c r="G289" s="161" t="str">
        <f>IF(HLOOKUP(IPS_security_table11[Product],Comb_scrd[#All],174,FALSE)&lt;&gt;1,"FAIL","PASS")</f>
        <v>PASS</v>
      </c>
      <c r="H289" s="161" t="str">
        <f>IF(HLOOKUP(IPS_security_table11[Product],Comb_scrd[#All],176,FALSE)&lt;&gt;1,"FAIL","PASS")</f>
        <v>PASS</v>
      </c>
      <c r="I289" s="164">
        <f>HLOOKUP(IPS_security_table11[Product],Inputs_table6[#All],2,FALSE)</f>
        <v>1</v>
      </c>
    </row>
    <row r="292" spans="1:614">
      <c r="A292" s="173"/>
      <c r="B292" s="132" t="s">
        <v>46</v>
      </c>
      <c r="C292" s="173"/>
      <c r="D292" s="173"/>
      <c r="E292" s="173"/>
      <c r="F292" s="173"/>
      <c r="G292" s="173"/>
      <c r="H292" s="173"/>
      <c r="I292" s="173"/>
      <c r="J292" s="173"/>
      <c r="K292" s="173"/>
      <c r="L292" s="173"/>
      <c r="M292" s="173"/>
      <c r="N292" s="173"/>
      <c r="P292" s="173"/>
      <c r="Q292" s="173"/>
      <c r="R292" s="173"/>
      <c r="S292" s="173"/>
      <c r="T292" s="173"/>
      <c r="U292" s="173"/>
      <c r="V292" s="173"/>
      <c r="W292" s="173"/>
      <c r="X292" s="173"/>
      <c r="Y292" s="173"/>
      <c r="Z292" s="173"/>
      <c r="AA292" s="173"/>
      <c r="AB292" s="173"/>
      <c r="AC292" s="173"/>
      <c r="AD292" s="173"/>
      <c r="AE292" s="173"/>
      <c r="AF292" s="173"/>
      <c r="AG292" s="173"/>
      <c r="AH292" s="173"/>
      <c r="AI292" s="173"/>
      <c r="AJ292" s="173"/>
      <c r="AK292" s="173"/>
      <c r="AL292" s="173"/>
      <c r="AM292" s="173"/>
      <c r="AN292" s="173"/>
      <c r="AO292" s="173"/>
      <c r="AP292" s="173"/>
      <c r="AQ292" s="173"/>
      <c r="AR292" s="173"/>
      <c r="AS292" s="173"/>
      <c r="AT292" s="173"/>
      <c r="AU292" s="173"/>
      <c r="AV292" s="173"/>
      <c r="AW292" s="173"/>
      <c r="AX292" s="173"/>
      <c r="AY292" s="173"/>
      <c r="AZ292" s="173"/>
      <c r="BA292" s="173"/>
      <c r="BB292" s="173"/>
      <c r="BC292" s="173"/>
      <c r="BD292" s="173"/>
      <c r="BE292" s="173"/>
      <c r="BF292" s="173"/>
      <c r="BG292" s="173"/>
      <c r="BH292" s="173"/>
      <c r="BI292" s="173"/>
      <c r="BJ292" s="173"/>
      <c r="BK292" s="173"/>
      <c r="BL292" s="173"/>
      <c r="BM292" s="173"/>
      <c r="BN292" s="173"/>
      <c r="BO292" s="173"/>
      <c r="BP292" s="173"/>
      <c r="BQ292" s="173"/>
      <c r="BR292" s="173"/>
      <c r="BS292" s="173"/>
      <c r="BT292" s="173"/>
      <c r="BU292" s="173"/>
      <c r="BV292" s="173"/>
      <c r="BW292" s="173"/>
      <c r="BX292" s="173"/>
      <c r="BY292" s="173"/>
      <c r="BZ292" s="173"/>
      <c r="CA292" s="173"/>
      <c r="CB292" s="173"/>
      <c r="CC292" s="173"/>
      <c r="CD292" s="173"/>
      <c r="CE292" s="173"/>
      <c r="CF292" s="173"/>
      <c r="CG292" s="173"/>
      <c r="CH292" s="173"/>
      <c r="CI292" s="173"/>
      <c r="CJ292" s="173"/>
      <c r="CK292" s="173"/>
      <c r="CL292" s="173"/>
      <c r="CM292" s="173"/>
      <c r="CN292" s="173"/>
      <c r="CO292" s="173"/>
      <c r="CP292" s="173"/>
      <c r="CQ292" s="173"/>
      <c r="CR292" s="173"/>
      <c r="CS292" s="173"/>
      <c r="CT292" s="173"/>
      <c r="CU292" s="173"/>
      <c r="CV292" s="173"/>
      <c r="CW292" s="173"/>
      <c r="CX292" s="173"/>
      <c r="CY292" s="173"/>
      <c r="CZ292" s="173"/>
      <c r="DA292" s="173"/>
      <c r="DB292" s="173"/>
      <c r="DC292" s="173"/>
      <c r="DD292" s="173"/>
      <c r="DE292" s="173"/>
      <c r="DF292" s="173"/>
      <c r="DG292" s="173"/>
      <c r="DH292" s="173"/>
      <c r="DI292" s="173"/>
      <c r="DJ292" s="173"/>
      <c r="DK292" s="173"/>
      <c r="DL292" s="173"/>
      <c r="DM292" s="173"/>
      <c r="DN292" s="173"/>
      <c r="DO292" s="173"/>
      <c r="DP292" s="173"/>
      <c r="DQ292" s="173"/>
      <c r="DR292" s="173"/>
      <c r="DS292" s="173"/>
      <c r="DT292" s="173"/>
      <c r="DU292" s="173"/>
      <c r="DV292" s="173"/>
      <c r="DW292" s="173"/>
      <c r="DX292" s="173"/>
      <c r="DY292" s="173"/>
      <c r="DZ292" s="173"/>
      <c r="EA292" s="173"/>
      <c r="EB292" s="173"/>
      <c r="EC292" s="173"/>
      <c r="ED292" s="173"/>
      <c r="EE292" s="173"/>
      <c r="EF292" s="173"/>
      <c r="EG292" s="173"/>
      <c r="EH292" s="173"/>
      <c r="EI292" s="173"/>
      <c r="EJ292" s="173"/>
      <c r="EK292" s="173"/>
      <c r="EL292" s="173"/>
      <c r="EM292" s="173"/>
      <c r="EN292" s="173"/>
      <c r="EO292" s="173"/>
      <c r="EP292" s="173"/>
      <c r="EQ292" s="173"/>
      <c r="ER292" s="173"/>
      <c r="ES292" s="173"/>
      <c r="ET292" s="173"/>
      <c r="EU292" s="173"/>
      <c r="EV292" s="173"/>
      <c r="EW292" s="173"/>
      <c r="EX292" s="173"/>
      <c r="EY292" s="173"/>
      <c r="EZ292" s="173"/>
      <c r="FA292" s="173"/>
      <c r="FB292" s="173"/>
      <c r="FC292" s="173"/>
      <c r="FD292" s="173"/>
      <c r="FE292" s="173"/>
      <c r="FF292" s="173"/>
      <c r="FG292" s="173"/>
      <c r="FH292" s="173"/>
      <c r="FI292" s="173"/>
      <c r="FJ292" s="173"/>
      <c r="FK292" s="173"/>
      <c r="FL292" s="173"/>
      <c r="FM292" s="173"/>
      <c r="FN292" s="173"/>
      <c r="FO292" s="173"/>
      <c r="FP292" s="173"/>
      <c r="FQ292" s="173"/>
      <c r="FR292" s="173"/>
      <c r="FS292" s="173"/>
      <c r="FT292" s="173"/>
      <c r="FU292" s="173"/>
      <c r="FV292" s="173"/>
      <c r="FW292" s="173"/>
      <c r="FX292" s="173"/>
      <c r="FY292" s="173"/>
      <c r="FZ292" s="173"/>
      <c r="GA292" s="173"/>
      <c r="GB292" s="173"/>
      <c r="GC292" s="173"/>
      <c r="GD292" s="173"/>
      <c r="GE292" s="173"/>
      <c r="GF292" s="173"/>
      <c r="GG292" s="173"/>
      <c r="GH292" s="173"/>
      <c r="GI292" s="173"/>
      <c r="GJ292" s="173"/>
      <c r="GK292" s="173"/>
      <c r="GL292" s="173"/>
      <c r="GM292" s="173"/>
      <c r="GN292" s="173"/>
      <c r="GO292" s="173"/>
      <c r="GP292" s="173"/>
      <c r="GQ292" s="173"/>
      <c r="GR292" s="173"/>
      <c r="GS292" s="173"/>
      <c r="GT292" s="173"/>
      <c r="GU292" s="173"/>
      <c r="GV292" s="173"/>
      <c r="GW292" s="173"/>
      <c r="GX292" s="173"/>
      <c r="GY292" s="173"/>
      <c r="GZ292" s="173"/>
      <c r="HA292" s="173"/>
      <c r="HB292" s="173"/>
      <c r="HC292" s="173"/>
      <c r="HD292" s="173"/>
      <c r="HE292" s="173"/>
      <c r="HF292" s="173"/>
      <c r="HG292" s="173"/>
      <c r="HH292" s="173"/>
      <c r="HI292" s="173"/>
      <c r="HJ292" s="173"/>
      <c r="HK292" s="173"/>
      <c r="HL292" s="173"/>
      <c r="HM292" s="173"/>
      <c r="HN292" s="173"/>
      <c r="HO292" s="173"/>
      <c r="HP292" s="173"/>
      <c r="HQ292" s="173"/>
      <c r="HR292" s="173"/>
      <c r="HS292" s="173"/>
      <c r="HT292" s="173"/>
      <c r="HU292" s="173"/>
      <c r="HV292" s="173"/>
      <c r="HW292" s="173"/>
      <c r="HX292" s="173"/>
      <c r="HY292" s="173"/>
      <c r="HZ292" s="173"/>
      <c r="IA292" s="173"/>
      <c r="IB292" s="173"/>
      <c r="IC292" s="173"/>
      <c r="ID292" s="173"/>
      <c r="IE292" s="173"/>
      <c r="IF292" s="173"/>
      <c r="IG292" s="173"/>
      <c r="IH292" s="173"/>
      <c r="II292" s="173"/>
      <c r="IJ292" s="173"/>
      <c r="IK292" s="173"/>
      <c r="IL292" s="173"/>
      <c r="IM292" s="173"/>
      <c r="IN292" s="173"/>
      <c r="IO292" s="173"/>
      <c r="IP292" s="173"/>
      <c r="IQ292" s="173"/>
      <c r="IR292" s="173"/>
      <c r="IS292" s="173"/>
      <c r="IT292" s="173"/>
      <c r="IU292" s="173"/>
      <c r="IV292" s="173"/>
      <c r="IW292" s="173"/>
      <c r="IX292" s="173"/>
      <c r="IY292" s="173"/>
      <c r="IZ292" s="173"/>
      <c r="JA292" s="173"/>
      <c r="JB292" s="173"/>
      <c r="JC292" s="173"/>
      <c r="JD292" s="173"/>
      <c r="JE292" s="173"/>
      <c r="JF292" s="173"/>
      <c r="JG292" s="173"/>
      <c r="JH292" s="173"/>
      <c r="JI292" s="173"/>
      <c r="JJ292" s="173"/>
      <c r="JK292" s="173"/>
      <c r="JL292" s="173"/>
      <c r="JM292" s="173"/>
      <c r="JN292" s="173"/>
      <c r="JO292" s="173"/>
      <c r="JP292" s="173"/>
      <c r="JQ292" s="173"/>
      <c r="JR292" s="173"/>
      <c r="JS292" s="173"/>
      <c r="JT292" s="173"/>
      <c r="JU292" s="173"/>
      <c r="JV292" s="173"/>
      <c r="JW292" s="173"/>
      <c r="JX292" s="173"/>
      <c r="JY292" s="173"/>
      <c r="JZ292" s="173"/>
      <c r="KA292" s="173"/>
      <c r="KB292" s="173"/>
      <c r="KC292" s="173"/>
      <c r="KD292" s="173"/>
      <c r="KE292" s="173"/>
      <c r="KF292" s="173"/>
      <c r="KG292" s="173"/>
      <c r="KH292" s="173"/>
      <c r="KI292" s="173"/>
      <c r="KJ292" s="173"/>
      <c r="KK292" s="173"/>
      <c r="KL292" s="173"/>
      <c r="KM292" s="173"/>
      <c r="KN292" s="173"/>
      <c r="KO292" s="173"/>
      <c r="KP292" s="173"/>
      <c r="KQ292" s="173"/>
      <c r="KR292" s="173"/>
      <c r="KS292" s="173"/>
      <c r="KT292" s="173"/>
      <c r="KU292" s="173"/>
      <c r="KV292" s="173"/>
      <c r="KW292" s="173"/>
      <c r="KX292" s="173"/>
      <c r="KY292" s="173"/>
      <c r="KZ292" s="173"/>
      <c r="LA292" s="173"/>
      <c r="LB292" s="173"/>
      <c r="LC292" s="173"/>
      <c r="LD292" s="173"/>
      <c r="LE292" s="173"/>
      <c r="LF292" s="173"/>
      <c r="LG292" s="173"/>
      <c r="LH292" s="173"/>
      <c r="LI292" s="173"/>
      <c r="LJ292" s="173"/>
      <c r="LK292" s="173"/>
      <c r="LL292" s="173"/>
      <c r="LM292" s="173"/>
      <c r="LN292" s="173"/>
      <c r="LO292" s="173"/>
      <c r="LP292" s="173"/>
      <c r="LQ292" s="173"/>
      <c r="LR292" s="173"/>
      <c r="LS292" s="173"/>
      <c r="LT292" s="173"/>
      <c r="LU292" s="173"/>
      <c r="LV292" s="173"/>
      <c r="LW292" s="173"/>
      <c r="LX292" s="173"/>
      <c r="LY292" s="173"/>
      <c r="LZ292" s="173"/>
      <c r="MA292" s="173"/>
      <c r="MB292" s="173"/>
      <c r="MC292" s="173"/>
      <c r="MD292" s="173"/>
      <c r="ME292" s="173"/>
      <c r="MF292" s="173"/>
      <c r="MG292" s="173"/>
      <c r="MH292" s="173"/>
      <c r="MI292" s="173"/>
      <c r="MJ292" s="173"/>
      <c r="MK292" s="173"/>
      <c r="ML292" s="173"/>
      <c r="MM292" s="173"/>
      <c r="MN292" s="173"/>
      <c r="MO292" s="173"/>
      <c r="MP292" s="173"/>
      <c r="MQ292" s="173"/>
      <c r="MR292" s="173"/>
      <c r="MS292" s="173"/>
      <c r="MT292" s="173"/>
      <c r="MU292" s="173"/>
      <c r="MV292" s="173"/>
      <c r="MW292" s="173"/>
      <c r="MX292" s="173"/>
      <c r="MY292" s="173"/>
      <c r="MZ292" s="173"/>
      <c r="NA292" s="173"/>
      <c r="NB292" s="173"/>
      <c r="NC292" s="173"/>
      <c r="ND292" s="173"/>
      <c r="NE292" s="173"/>
      <c r="NF292" s="173"/>
      <c r="NG292" s="173"/>
      <c r="NH292" s="173"/>
      <c r="NI292" s="173"/>
      <c r="NJ292" s="173"/>
      <c r="NK292" s="173"/>
      <c r="NL292" s="173"/>
      <c r="NM292" s="173"/>
      <c r="NN292" s="173"/>
      <c r="NO292" s="173"/>
      <c r="NP292" s="173"/>
      <c r="NQ292" s="173"/>
      <c r="NR292" s="173"/>
      <c r="NS292" s="173"/>
      <c r="NT292" s="173"/>
      <c r="NU292" s="173"/>
      <c r="NV292" s="173"/>
      <c r="NW292" s="173"/>
      <c r="NX292" s="173"/>
      <c r="NY292" s="173"/>
      <c r="NZ292" s="173"/>
      <c r="OA292" s="173"/>
      <c r="OB292" s="173"/>
      <c r="OC292" s="173"/>
      <c r="OD292" s="173"/>
      <c r="OE292" s="173"/>
      <c r="OF292" s="173"/>
      <c r="OG292" s="173"/>
      <c r="OH292" s="173"/>
      <c r="OI292" s="173"/>
      <c r="OJ292" s="173"/>
      <c r="OK292" s="173"/>
      <c r="OL292" s="173"/>
      <c r="OM292" s="173"/>
      <c r="ON292" s="173"/>
      <c r="OO292" s="173"/>
      <c r="OP292" s="173"/>
      <c r="OQ292" s="173"/>
      <c r="OR292" s="173"/>
      <c r="OS292" s="173"/>
      <c r="OT292" s="173"/>
      <c r="OU292" s="173"/>
      <c r="OV292" s="173"/>
      <c r="OW292" s="173"/>
      <c r="OX292" s="173"/>
      <c r="OY292" s="173"/>
      <c r="OZ292" s="173"/>
      <c r="PA292" s="173"/>
      <c r="PB292" s="173"/>
      <c r="PC292" s="173"/>
      <c r="PD292" s="173"/>
      <c r="PE292" s="173"/>
      <c r="PF292" s="173"/>
      <c r="PG292" s="173"/>
      <c r="PH292" s="173"/>
      <c r="PI292" s="173"/>
      <c r="PJ292" s="173"/>
      <c r="PK292" s="173"/>
      <c r="PL292" s="173"/>
      <c r="PM292" s="173"/>
      <c r="PN292" s="173"/>
      <c r="PO292" s="173"/>
      <c r="PP292" s="173"/>
      <c r="PQ292" s="173"/>
      <c r="PR292" s="173"/>
      <c r="PS292" s="173"/>
      <c r="PT292" s="173"/>
      <c r="PU292" s="173"/>
      <c r="PV292" s="173"/>
      <c r="PW292" s="173"/>
      <c r="PX292" s="173"/>
      <c r="PY292" s="173"/>
      <c r="PZ292" s="173"/>
      <c r="QA292" s="173"/>
      <c r="QB292" s="173"/>
      <c r="QC292" s="173"/>
      <c r="QD292" s="173"/>
      <c r="QE292" s="173"/>
      <c r="QF292" s="173"/>
      <c r="QG292" s="173"/>
      <c r="QH292" s="173"/>
      <c r="QI292" s="173"/>
      <c r="QJ292" s="173"/>
      <c r="QK292" s="173"/>
      <c r="QL292" s="173"/>
      <c r="QM292" s="173"/>
      <c r="QN292" s="173"/>
      <c r="QO292" s="173"/>
      <c r="QP292" s="173"/>
      <c r="QQ292" s="173"/>
      <c r="QR292" s="173"/>
      <c r="QS292" s="173"/>
      <c r="QT292" s="173"/>
      <c r="QU292" s="173"/>
      <c r="QV292" s="173"/>
      <c r="QW292" s="173"/>
      <c r="QX292" s="173"/>
      <c r="QY292" s="173"/>
      <c r="QZ292" s="173"/>
      <c r="RA292" s="173"/>
      <c r="RB292" s="173"/>
      <c r="RC292" s="173"/>
      <c r="RD292" s="173"/>
      <c r="RE292" s="173"/>
      <c r="RF292" s="173"/>
      <c r="RG292" s="173"/>
      <c r="RH292" s="173"/>
      <c r="RI292" s="173"/>
      <c r="RJ292" s="173"/>
      <c r="RK292" s="173"/>
      <c r="RL292" s="173"/>
      <c r="RM292" s="173"/>
      <c r="RN292" s="173"/>
      <c r="RO292" s="173"/>
      <c r="RP292" s="173"/>
      <c r="RQ292" s="173"/>
      <c r="RR292" s="173"/>
      <c r="RS292" s="173"/>
      <c r="RT292" s="173"/>
      <c r="RU292" s="173"/>
      <c r="RV292" s="173"/>
      <c r="RW292" s="173"/>
      <c r="RX292" s="173"/>
      <c r="RY292" s="173"/>
      <c r="RZ292" s="173"/>
      <c r="SA292" s="173"/>
      <c r="SB292" s="173"/>
      <c r="SC292" s="173"/>
      <c r="SD292" s="173"/>
      <c r="SE292" s="173"/>
      <c r="SF292" s="173"/>
      <c r="SG292" s="173"/>
      <c r="SH292" s="173"/>
      <c r="SI292" s="173"/>
      <c r="SJ292" s="173"/>
      <c r="SK292" s="173"/>
      <c r="SL292" s="173"/>
      <c r="SM292" s="173"/>
      <c r="SN292" s="173"/>
      <c r="SO292" s="173"/>
      <c r="SP292" s="173"/>
      <c r="SQ292" s="173"/>
      <c r="SR292" s="173"/>
      <c r="SS292" s="173"/>
      <c r="ST292" s="173"/>
      <c r="SU292" s="173"/>
      <c r="SV292" s="173"/>
      <c r="SW292" s="173"/>
      <c r="SX292" s="173"/>
      <c r="SY292" s="173"/>
      <c r="SZ292" s="173"/>
      <c r="TA292" s="173"/>
      <c r="TB292" s="173"/>
      <c r="TC292" s="173"/>
      <c r="TD292" s="173"/>
      <c r="TE292" s="173"/>
      <c r="TF292" s="173"/>
      <c r="TG292" s="173"/>
      <c r="TH292" s="173"/>
      <c r="TI292" s="173"/>
      <c r="TJ292" s="173"/>
      <c r="TK292" s="173"/>
      <c r="TL292" s="173"/>
      <c r="TM292" s="173"/>
      <c r="TN292" s="173"/>
      <c r="TO292" s="173"/>
      <c r="TP292" s="173"/>
      <c r="TQ292" s="173"/>
      <c r="TR292" s="173"/>
      <c r="TS292" s="173"/>
      <c r="TT292" s="173"/>
      <c r="TU292" s="173"/>
      <c r="TV292" s="173"/>
      <c r="TW292" s="173"/>
      <c r="TX292" s="173"/>
      <c r="TY292" s="173"/>
      <c r="TZ292" s="173"/>
      <c r="UA292" s="173"/>
      <c r="UB292" s="173"/>
      <c r="UC292" s="173"/>
      <c r="UD292" s="173"/>
      <c r="UE292" s="173"/>
      <c r="UF292" s="173"/>
      <c r="UG292" s="173"/>
      <c r="UH292" s="173"/>
      <c r="UI292" s="173"/>
      <c r="UJ292" s="173"/>
      <c r="UK292" s="173"/>
      <c r="UL292" s="173"/>
      <c r="UM292" s="173"/>
      <c r="UN292" s="173"/>
      <c r="UO292" s="173"/>
      <c r="UP292" s="173"/>
      <c r="UQ292" s="173"/>
      <c r="UR292" s="173"/>
      <c r="US292" s="173"/>
      <c r="UT292" s="173"/>
      <c r="UU292" s="173"/>
      <c r="UV292" s="173"/>
      <c r="UW292" s="173"/>
      <c r="UX292" s="173"/>
      <c r="UY292" s="173"/>
      <c r="UZ292" s="173"/>
      <c r="VA292" s="173"/>
      <c r="VB292" s="173"/>
      <c r="VC292" s="173"/>
      <c r="VD292" s="173"/>
      <c r="VE292" s="173"/>
      <c r="VF292" s="173"/>
      <c r="VG292" s="173"/>
      <c r="VH292" s="173"/>
      <c r="VI292" s="173"/>
      <c r="VJ292" s="173"/>
      <c r="VK292" s="173"/>
      <c r="VL292" s="173"/>
      <c r="VM292" s="173"/>
      <c r="VN292" s="173"/>
      <c r="VO292" s="173"/>
      <c r="VP292" s="173"/>
      <c r="VQ292" s="173"/>
      <c r="VR292" s="173"/>
      <c r="VS292" s="173"/>
      <c r="VT292" s="173"/>
      <c r="VU292" s="173"/>
      <c r="VV292" s="173"/>
      <c r="VW292" s="173"/>
      <c r="VX292" s="173"/>
      <c r="VY292" s="173"/>
      <c r="VZ292" s="173"/>
      <c r="WA292" s="173"/>
      <c r="WB292" s="173"/>
      <c r="WC292" s="173"/>
      <c r="WD292" s="173"/>
      <c r="WE292" s="173"/>
      <c r="WF292" s="173"/>
      <c r="WG292" s="173"/>
      <c r="WH292" s="173"/>
      <c r="WI292" s="173"/>
      <c r="WJ292" s="173"/>
      <c r="WK292" s="173"/>
      <c r="WL292" s="173"/>
      <c r="WM292" s="173"/>
      <c r="WN292" s="173"/>
      <c r="WO292" s="173"/>
      <c r="WP292" s="173"/>
    </row>
    <row r="293" spans="1:614" ht="24">
      <c r="A293" s="174"/>
      <c r="B293" s="175" t="s">
        <v>74</v>
      </c>
      <c r="C293" s="176" t="s">
        <v>47</v>
      </c>
      <c r="D293" s="176" t="s">
        <v>48</v>
      </c>
      <c r="E293" s="176" t="s">
        <v>364</v>
      </c>
      <c r="F293" s="176" t="s">
        <v>366</v>
      </c>
      <c r="G293" s="176" t="s">
        <v>368</v>
      </c>
      <c r="H293" s="176" t="s">
        <v>370</v>
      </c>
      <c r="I293" s="176" t="s">
        <v>372</v>
      </c>
      <c r="J293" s="176" t="s">
        <v>49</v>
      </c>
      <c r="K293" s="176" t="s">
        <v>50</v>
      </c>
      <c r="L293" s="176" t="s">
        <v>487</v>
      </c>
      <c r="M293" s="176" t="s">
        <v>52</v>
      </c>
      <c r="N293" s="176" t="s">
        <v>481</v>
      </c>
      <c r="P293" s="173"/>
      <c r="Q293" s="173"/>
      <c r="R293" s="173"/>
      <c r="S293" s="173"/>
      <c r="T293" s="173"/>
      <c r="U293" s="173"/>
      <c r="V293" s="173"/>
      <c r="W293" s="173"/>
      <c r="X293" s="173"/>
      <c r="Y293" s="173"/>
      <c r="Z293" s="173"/>
      <c r="AA293" s="173"/>
      <c r="AB293" s="173"/>
      <c r="AC293" s="173"/>
      <c r="AD293" s="173"/>
      <c r="AE293" s="173"/>
      <c r="AF293" s="173"/>
      <c r="AG293" s="173"/>
      <c r="AH293" s="173"/>
      <c r="AI293" s="173"/>
      <c r="AJ293" s="173"/>
      <c r="AK293" s="173"/>
      <c r="AL293" s="173"/>
      <c r="AM293" s="173"/>
      <c r="AN293" s="173"/>
      <c r="AO293" s="173"/>
      <c r="AP293" s="173"/>
      <c r="AQ293" s="173"/>
      <c r="AR293" s="173"/>
      <c r="AS293" s="173"/>
      <c r="AT293" s="173"/>
      <c r="AU293" s="173"/>
      <c r="AV293" s="173"/>
      <c r="AW293" s="173"/>
      <c r="AX293" s="173"/>
      <c r="AY293" s="173"/>
      <c r="AZ293" s="173"/>
      <c r="BA293" s="173"/>
      <c r="BB293" s="173"/>
      <c r="BC293" s="173"/>
      <c r="BD293" s="173"/>
      <c r="BE293" s="173"/>
      <c r="BF293" s="173"/>
      <c r="BG293" s="173"/>
      <c r="BH293" s="173"/>
      <c r="BI293" s="173"/>
      <c r="BJ293" s="173"/>
      <c r="BK293" s="173"/>
      <c r="BL293" s="173"/>
      <c r="BM293" s="173"/>
      <c r="BN293" s="173"/>
      <c r="BO293" s="173"/>
      <c r="BP293" s="173"/>
      <c r="BQ293" s="173"/>
      <c r="BR293" s="173"/>
      <c r="BS293" s="173"/>
      <c r="BT293" s="173"/>
      <c r="BU293" s="173"/>
      <c r="BV293" s="173"/>
      <c r="BW293" s="173"/>
      <c r="BX293" s="173"/>
      <c r="BY293" s="173"/>
      <c r="BZ293" s="173"/>
      <c r="CA293" s="173"/>
      <c r="CB293" s="173"/>
      <c r="CC293" s="173"/>
      <c r="CD293" s="173"/>
      <c r="CE293" s="173"/>
      <c r="CF293" s="173"/>
      <c r="CG293" s="173"/>
      <c r="CH293" s="173"/>
      <c r="CI293" s="173"/>
      <c r="CJ293" s="173"/>
      <c r="CK293" s="173"/>
      <c r="CL293" s="173"/>
      <c r="CM293" s="173"/>
      <c r="CN293" s="173"/>
      <c r="CO293" s="173"/>
      <c r="CP293" s="173"/>
      <c r="CQ293" s="173"/>
      <c r="CR293" s="173"/>
      <c r="CS293" s="173"/>
      <c r="CT293" s="173"/>
      <c r="CU293" s="173"/>
      <c r="CV293" s="173"/>
      <c r="CW293" s="173"/>
      <c r="CX293" s="173"/>
      <c r="CY293" s="173"/>
      <c r="CZ293" s="173"/>
      <c r="DA293" s="173"/>
      <c r="DB293" s="173"/>
      <c r="DC293" s="173"/>
      <c r="DD293" s="173"/>
      <c r="DE293" s="173"/>
      <c r="DF293" s="173"/>
      <c r="DG293" s="173"/>
      <c r="DH293" s="173"/>
      <c r="DI293" s="173"/>
      <c r="DJ293" s="173"/>
      <c r="DK293" s="173"/>
      <c r="DL293" s="173"/>
      <c r="DM293" s="173"/>
      <c r="DN293" s="173"/>
      <c r="DO293" s="173"/>
      <c r="DP293" s="173"/>
      <c r="DQ293" s="173"/>
      <c r="DR293" s="173"/>
      <c r="DS293" s="173"/>
      <c r="DT293" s="173"/>
      <c r="DU293" s="173"/>
      <c r="DV293" s="173"/>
      <c r="DW293" s="173"/>
      <c r="DX293" s="173"/>
      <c r="DY293" s="173"/>
      <c r="DZ293" s="173"/>
      <c r="EA293" s="173"/>
      <c r="EB293" s="173"/>
      <c r="EC293" s="173"/>
      <c r="ED293" s="173"/>
      <c r="EE293" s="173"/>
      <c r="EF293" s="173"/>
      <c r="EG293" s="173"/>
      <c r="EH293" s="173"/>
      <c r="EI293" s="173"/>
      <c r="EJ293" s="173"/>
      <c r="EK293" s="173"/>
      <c r="EL293" s="173"/>
      <c r="EM293" s="173"/>
      <c r="EN293" s="173"/>
      <c r="EO293" s="173"/>
      <c r="EP293" s="173"/>
      <c r="EQ293" s="173"/>
      <c r="ER293" s="173"/>
      <c r="ES293" s="173"/>
      <c r="ET293" s="173"/>
      <c r="EU293" s="173"/>
      <c r="EV293" s="173"/>
      <c r="EW293" s="173"/>
      <c r="EX293" s="173"/>
      <c r="EY293" s="173"/>
      <c r="EZ293" s="173"/>
      <c r="FA293" s="173"/>
      <c r="FB293" s="173"/>
      <c r="FC293" s="173"/>
      <c r="FD293" s="173"/>
      <c r="FE293" s="173"/>
      <c r="FF293" s="173"/>
      <c r="FG293" s="173"/>
      <c r="FH293" s="173"/>
      <c r="FI293" s="173"/>
      <c r="FJ293" s="173"/>
      <c r="FK293" s="173"/>
      <c r="FL293" s="173"/>
      <c r="FM293" s="173"/>
      <c r="FN293" s="173"/>
      <c r="FO293" s="173"/>
      <c r="FP293" s="173"/>
      <c r="FQ293" s="173"/>
      <c r="FR293" s="173"/>
      <c r="FS293" s="173"/>
      <c r="FT293" s="173"/>
      <c r="FU293" s="173"/>
      <c r="FV293" s="173"/>
      <c r="FW293" s="173"/>
      <c r="FX293" s="173"/>
      <c r="FY293" s="173"/>
      <c r="FZ293" s="173"/>
      <c r="GA293" s="173"/>
      <c r="GB293" s="173"/>
      <c r="GC293" s="173"/>
      <c r="GD293" s="173"/>
      <c r="GE293" s="173"/>
      <c r="GF293" s="173"/>
      <c r="GG293" s="173"/>
      <c r="GH293" s="173"/>
      <c r="GI293" s="173"/>
      <c r="GJ293" s="173"/>
      <c r="GK293" s="173"/>
      <c r="GL293" s="173"/>
      <c r="GM293" s="173"/>
      <c r="GN293" s="173"/>
      <c r="GO293" s="173"/>
      <c r="GP293" s="173"/>
      <c r="GQ293" s="173"/>
      <c r="GR293" s="173"/>
      <c r="GS293" s="173"/>
      <c r="GT293" s="173"/>
      <c r="GU293" s="173"/>
      <c r="GV293" s="173"/>
      <c r="GW293" s="173"/>
      <c r="GX293" s="173"/>
      <c r="GY293" s="173"/>
      <c r="GZ293" s="173"/>
      <c r="HA293" s="173"/>
      <c r="HB293" s="173"/>
      <c r="HC293" s="173"/>
      <c r="HD293" s="173"/>
      <c r="HE293" s="173"/>
      <c r="HF293" s="173"/>
      <c r="HG293" s="173"/>
      <c r="HH293" s="173"/>
      <c r="HI293" s="173"/>
      <c r="HJ293" s="173"/>
      <c r="HK293" s="173"/>
      <c r="HL293" s="173"/>
      <c r="HM293" s="173"/>
      <c r="HN293" s="173"/>
      <c r="HO293" s="173"/>
      <c r="HP293" s="173"/>
      <c r="HQ293" s="173"/>
      <c r="HR293" s="173"/>
      <c r="HS293" s="173"/>
      <c r="HT293" s="173"/>
      <c r="HU293" s="173"/>
      <c r="HV293" s="173"/>
      <c r="HW293" s="173"/>
      <c r="HX293" s="173"/>
      <c r="HY293" s="173"/>
      <c r="HZ293" s="173"/>
      <c r="IA293" s="173"/>
      <c r="IB293" s="173"/>
      <c r="IC293" s="173"/>
      <c r="ID293" s="173"/>
      <c r="IE293" s="173"/>
      <c r="IF293" s="173"/>
      <c r="IG293" s="173"/>
      <c r="IH293" s="173"/>
      <c r="II293" s="173"/>
      <c r="IJ293" s="173"/>
      <c r="IK293" s="173"/>
      <c r="IL293" s="173"/>
      <c r="IM293" s="173"/>
      <c r="IN293" s="173"/>
      <c r="IO293" s="173"/>
      <c r="IP293" s="173"/>
      <c r="IQ293" s="173"/>
      <c r="IR293" s="173"/>
      <c r="IS293" s="173"/>
      <c r="IT293" s="173"/>
      <c r="IU293" s="173"/>
      <c r="IV293" s="173"/>
      <c r="IW293" s="173"/>
      <c r="IX293" s="173"/>
      <c r="IY293" s="173"/>
      <c r="IZ293" s="173"/>
      <c r="JA293" s="173"/>
      <c r="JB293" s="173"/>
      <c r="JC293" s="173"/>
      <c r="JD293" s="173"/>
      <c r="JE293" s="173"/>
      <c r="JF293" s="173"/>
      <c r="JG293" s="173"/>
      <c r="JH293" s="173"/>
      <c r="JI293" s="173"/>
      <c r="JJ293" s="173"/>
      <c r="JK293" s="173"/>
      <c r="JL293" s="173"/>
      <c r="JM293" s="173"/>
      <c r="JN293" s="173"/>
      <c r="JO293" s="173"/>
      <c r="JP293" s="173"/>
      <c r="JQ293" s="173"/>
      <c r="JR293" s="173"/>
      <c r="JS293" s="173"/>
      <c r="JT293" s="173"/>
      <c r="JU293" s="173"/>
      <c r="JV293" s="173"/>
      <c r="JW293" s="173"/>
      <c r="JX293" s="173"/>
      <c r="JY293" s="173"/>
      <c r="JZ293" s="173"/>
      <c r="KA293" s="173"/>
      <c r="KB293" s="173"/>
      <c r="KC293" s="173"/>
      <c r="KD293" s="173"/>
      <c r="KE293" s="173"/>
      <c r="KF293" s="173"/>
      <c r="KG293" s="173"/>
      <c r="KH293" s="173"/>
      <c r="KI293" s="173"/>
      <c r="KJ293" s="173"/>
      <c r="KK293" s="173"/>
      <c r="KL293" s="173"/>
      <c r="KM293" s="173"/>
      <c r="KN293" s="173"/>
      <c r="KO293" s="173"/>
      <c r="KP293" s="173"/>
      <c r="KQ293" s="173"/>
      <c r="KR293" s="173"/>
      <c r="KS293" s="173"/>
      <c r="KT293" s="173"/>
      <c r="KU293" s="173"/>
      <c r="KV293" s="173"/>
      <c r="KW293" s="173"/>
      <c r="KX293" s="173"/>
      <c r="KY293" s="173"/>
      <c r="KZ293" s="173"/>
      <c r="LA293" s="173"/>
      <c r="LB293" s="173"/>
      <c r="LC293" s="173"/>
      <c r="LD293" s="173"/>
      <c r="LE293" s="173"/>
      <c r="LF293" s="173"/>
      <c r="LG293" s="173"/>
      <c r="LH293" s="173"/>
      <c r="LI293" s="173"/>
      <c r="LJ293" s="173"/>
      <c r="LK293" s="173"/>
      <c r="LL293" s="173"/>
      <c r="LM293" s="173"/>
      <c r="LN293" s="173"/>
      <c r="LO293" s="173"/>
      <c r="LP293" s="173"/>
      <c r="LQ293" s="173"/>
      <c r="LR293" s="173"/>
      <c r="LS293" s="173"/>
      <c r="LT293" s="173"/>
      <c r="LU293" s="173"/>
      <c r="LV293" s="173"/>
      <c r="LW293" s="173"/>
      <c r="LX293" s="173"/>
      <c r="LY293" s="173"/>
      <c r="LZ293" s="173"/>
      <c r="MA293" s="173"/>
      <c r="MB293" s="173"/>
      <c r="MC293" s="173"/>
      <c r="MD293" s="173"/>
      <c r="ME293" s="173"/>
      <c r="MF293" s="173"/>
      <c r="MG293" s="173"/>
      <c r="MH293" s="173"/>
      <c r="MI293" s="173"/>
      <c r="MJ293" s="173"/>
      <c r="MK293" s="173"/>
      <c r="ML293" s="173"/>
      <c r="MM293" s="173"/>
      <c r="MN293" s="173"/>
      <c r="MO293" s="173"/>
      <c r="MP293" s="173"/>
      <c r="MQ293" s="173"/>
      <c r="MR293" s="173"/>
      <c r="MS293" s="173"/>
      <c r="MT293" s="173"/>
      <c r="MU293" s="173"/>
      <c r="MV293" s="173"/>
      <c r="MW293" s="173"/>
      <c r="MX293" s="173"/>
      <c r="MY293" s="173"/>
      <c r="MZ293" s="173"/>
      <c r="NA293" s="173"/>
      <c r="NB293" s="173"/>
      <c r="NC293" s="173"/>
      <c r="ND293" s="173"/>
      <c r="NE293" s="173"/>
      <c r="NF293" s="173"/>
      <c r="NG293" s="173"/>
      <c r="NH293" s="173"/>
      <c r="NI293" s="173"/>
      <c r="NJ293" s="173"/>
      <c r="NK293" s="173"/>
      <c r="NL293" s="173"/>
      <c r="NM293" s="173"/>
      <c r="NN293" s="173"/>
      <c r="NO293" s="173"/>
      <c r="NP293" s="173"/>
      <c r="NQ293" s="173"/>
      <c r="NR293" s="173"/>
      <c r="NS293" s="173"/>
      <c r="NT293" s="173"/>
      <c r="NU293" s="173"/>
      <c r="NV293" s="173"/>
      <c r="NW293" s="173"/>
      <c r="NX293" s="173"/>
      <c r="NY293" s="173"/>
      <c r="NZ293" s="173"/>
      <c r="OA293" s="173"/>
      <c r="OB293" s="173"/>
      <c r="OC293" s="173"/>
      <c r="OD293" s="173"/>
      <c r="OE293" s="173"/>
      <c r="OF293" s="173"/>
      <c r="OG293" s="173"/>
      <c r="OH293" s="173"/>
      <c r="OI293" s="173"/>
      <c r="OJ293" s="173"/>
      <c r="OK293" s="173"/>
      <c r="OL293" s="173"/>
      <c r="OM293" s="173"/>
      <c r="ON293" s="173"/>
      <c r="OO293" s="173"/>
      <c r="OP293" s="173"/>
      <c r="OQ293" s="173"/>
      <c r="OR293" s="173"/>
      <c r="OS293" s="173"/>
      <c r="OT293" s="173"/>
      <c r="OU293" s="173"/>
      <c r="OV293" s="173"/>
      <c r="OW293" s="173"/>
      <c r="OX293" s="173"/>
      <c r="OY293" s="173"/>
      <c r="OZ293" s="173"/>
      <c r="PA293" s="173"/>
      <c r="PB293" s="173"/>
      <c r="PC293" s="173"/>
      <c r="PD293" s="173"/>
      <c r="PE293" s="173"/>
      <c r="PF293" s="173"/>
      <c r="PG293" s="173"/>
      <c r="PH293" s="173"/>
      <c r="PI293" s="173"/>
      <c r="PJ293" s="173"/>
      <c r="PK293" s="173"/>
      <c r="PL293" s="173"/>
      <c r="PM293" s="173"/>
      <c r="PN293" s="173"/>
      <c r="PO293" s="173"/>
      <c r="PP293" s="173"/>
      <c r="PQ293" s="173"/>
      <c r="PR293" s="173"/>
      <c r="PS293" s="173"/>
      <c r="PT293" s="173"/>
      <c r="PU293" s="173"/>
      <c r="PV293" s="173"/>
      <c r="PW293" s="173"/>
      <c r="PX293" s="173"/>
      <c r="PY293" s="173"/>
      <c r="PZ293" s="173"/>
      <c r="QA293" s="173"/>
      <c r="QB293" s="173"/>
      <c r="QC293" s="173"/>
      <c r="QD293" s="173"/>
      <c r="QE293" s="173"/>
      <c r="QF293" s="173"/>
      <c r="QG293" s="173"/>
      <c r="QH293" s="173"/>
      <c r="QI293" s="173"/>
      <c r="QJ293" s="173"/>
      <c r="QK293" s="173"/>
      <c r="QL293" s="173"/>
      <c r="QM293" s="173"/>
      <c r="QN293" s="173"/>
      <c r="QO293" s="173"/>
      <c r="QP293" s="173"/>
      <c r="QQ293" s="173"/>
      <c r="QR293" s="173"/>
      <c r="QS293" s="173"/>
      <c r="QT293" s="173"/>
      <c r="QU293" s="173"/>
      <c r="QV293" s="173"/>
      <c r="QW293" s="173"/>
      <c r="QX293" s="173"/>
      <c r="QY293" s="173"/>
      <c r="QZ293" s="173"/>
      <c r="RA293" s="173"/>
      <c r="RB293" s="173"/>
      <c r="RC293" s="173"/>
      <c r="RD293" s="173"/>
      <c r="RE293" s="173"/>
      <c r="RF293" s="173"/>
      <c r="RG293" s="173"/>
      <c r="RH293" s="173"/>
      <c r="RI293" s="173"/>
      <c r="RJ293" s="173"/>
      <c r="RK293" s="173"/>
      <c r="RL293" s="173"/>
      <c r="RM293" s="173"/>
      <c r="RN293" s="173"/>
      <c r="RO293" s="173"/>
      <c r="RP293" s="173"/>
      <c r="RQ293" s="173"/>
      <c r="RR293" s="173"/>
      <c r="RS293" s="173"/>
      <c r="RT293" s="173"/>
      <c r="RU293" s="173"/>
      <c r="RV293" s="173"/>
      <c r="RW293" s="173"/>
      <c r="RX293" s="173"/>
      <c r="RY293" s="173"/>
      <c r="RZ293" s="173"/>
      <c r="SA293" s="173"/>
      <c r="SB293" s="173"/>
      <c r="SC293" s="173"/>
      <c r="SD293" s="173"/>
      <c r="SE293" s="173"/>
      <c r="SF293" s="173"/>
      <c r="SG293" s="173"/>
      <c r="SH293" s="173"/>
      <c r="SI293" s="173"/>
      <c r="SJ293" s="173"/>
      <c r="SK293" s="173"/>
      <c r="SL293" s="173"/>
      <c r="SM293" s="173"/>
      <c r="SN293" s="173"/>
      <c r="SO293" s="173"/>
      <c r="SP293" s="173"/>
      <c r="SQ293" s="173"/>
      <c r="SR293" s="173"/>
      <c r="SS293" s="173"/>
      <c r="ST293" s="173"/>
      <c r="SU293" s="173"/>
      <c r="SV293" s="173"/>
      <c r="SW293" s="173"/>
      <c r="SX293" s="173"/>
      <c r="SY293" s="173"/>
      <c r="SZ293" s="173"/>
      <c r="TA293" s="173"/>
      <c r="TB293" s="173"/>
      <c r="TC293" s="173"/>
      <c r="TD293" s="173"/>
      <c r="TE293" s="173"/>
      <c r="TF293" s="173"/>
      <c r="TG293" s="173"/>
      <c r="TH293" s="173"/>
      <c r="TI293" s="173"/>
      <c r="TJ293" s="173"/>
      <c r="TK293" s="173"/>
      <c r="TL293" s="173"/>
      <c r="TM293" s="173"/>
      <c r="TN293" s="173"/>
      <c r="TO293" s="173"/>
      <c r="TP293" s="173"/>
      <c r="TQ293" s="173"/>
      <c r="TR293" s="173"/>
      <c r="TS293" s="173"/>
      <c r="TT293" s="173"/>
      <c r="TU293" s="173"/>
      <c r="TV293" s="173"/>
      <c r="TW293" s="173"/>
      <c r="TX293" s="173"/>
      <c r="TY293" s="173"/>
      <c r="TZ293" s="173"/>
      <c r="UA293" s="173"/>
      <c r="UB293" s="173"/>
      <c r="UC293" s="173"/>
      <c r="UD293" s="173"/>
      <c r="UE293" s="173"/>
      <c r="UF293" s="173"/>
      <c r="UG293" s="173"/>
      <c r="UH293" s="173"/>
      <c r="UI293" s="173"/>
      <c r="UJ293" s="173"/>
      <c r="UK293" s="173"/>
      <c r="UL293" s="173"/>
      <c r="UM293" s="173"/>
      <c r="UN293" s="173"/>
      <c r="UO293" s="173"/>
      <c r="UP293" s="173"/>
      <c r="UQ293" s="173"/>
      <c r="UR293" s="173"/>
      <c r="US293" s="173"/>
      <c r="UT293" s="173"/>
      <c r="UU293" s="173"/>
      <c r="UV293" s="173"/>
      <c r="UW293" s="173"/>
      <c r="UX293" s="173"/>
      <c r="UY293" s="173"/>
      <c r="UZ293" s="173"/>
      <c r="VA293" s="173"/>
      <c r="VB293" s="173"/>
      <c r="VC293" s="173"/>
      <c r="VD293" s="173"/>
      <c r="VE293" s="173"/>
      <c r="VF293" s="173"/>
      <c r="VG293" s="173"/>
      <c r="VH293" s="173"/>
      <c r="VI293" s="173"/>
      <c r="VJ293" s="173"/>
      <c r="VK293" s="173"/>
      <c r="VL293" s="173"/>
      <c r="VM293" s="173"/>
      <c r="VN293" s="173"/>
      <c r="VO293" s="173"/>
      <c r="VP293" s="173"/>
      <c r="VQ293" s="173"/>
      <c r="VR293" s="173"/>
      <c r="VS293" s="173"/>
      <c r="VT293" s="173"/>
      <c r="VU293" s="173"/>
      <c r="VV293" s="173"/>
      <c r="VW293" s="173"/>
      <c r="VX293" s="173"/>
      <c r="VY293" s="173"/>
      <c r="VZ293" s="173"/>
      <c r="WA293" s="173"/>
      <c r="WB293" s="173"/>
      <c r="WC293" s="173"/>
      <c r="WD293" s="173"/>
      <c r="WE293" s="173"/>
      <c r="WF293" s="173"/>
      <c r="WG293" s="173"/>
      <c r="WH293" s="173"/>
      <c r="WI293" s="173"/>
      <c r="WJ293" s="173"/>
      <c r="WK293" s="173"/>
      <c r="WL293" s="173"/>
      <c r="WM293" s="173"/>
      <c r="WN293" s="173"/>
      <c r="WO293" s="173"/>
      <c r="WP293" s="173"/>
    </row>
    <row r="294" spans="1:614">
      <c r="A294" s="173"/>
      <c r="B294" s="133" t="str">
        <f>Comb_scrd[[#Headers],[Cisco FirePOWER 8350]]</f>
        <v>Cisco FirePOWER 8350</v>
      </c>
      <c r="C294" s="170" t="str">
        <f>HLOOKUP(Table59[Product],Comb_scrd[#All],220,FALSE)</f>
        <v>PASS</v>
      </c>
      <c r="D294" s="170" t="str">
        <f>HLOOKUP(Table59[Product],Comb_scrd[#All],221,FALSE)</f>
        <v>PASS</v>
      </c>
      <c r="E294" s="170" t="str">
        <f>HLOOKUP(Table59[Product],Comb_scrd[#All],223,FALSE)</f>
        <v>PASS</v>
      </c>
      <c r="F294" s="170" t="str">
        <f>HLOOKUP(Table59[Product],Comb_scrd[#All],224,FALSE)</f>
        <v>PASS</v>
      </c>
      <c r="G294" s="177" t="str">
        <f>HLOOKUP(Table59[Product],Comb_scrd[#All],225,FALSE)</f>
        <v>PASS</v>
      </c>
      <c r="H294" s="177" t="str">
        <f>HLOOKUP(Table59[Product],Comb_scrd[#All],226,FALSE)</f>
        <v>PASS</v>
      </c>
      <c r="I294" s="177" t="str">
        <f>HLOOKUP(Table59[Product],Comb_scrd[#All],227,FALSE)</f>
        <v>PASS</v>
      </c>
      <c r="J294" s="177" t="str">
        <f>HLOOKUP(Table59[Product],Comb_scrd[#All],228,FALSE)</f>
        <v>PASS</v>
      </c>
      <c r="K294" s="177" t="str">
        <f>HLOOKUP(Table59[Product],Comb_scrd[#All],229,FALSE)</f>
        <v>PASS</v>
      </c>
      <c r="L294" s="170" t="str">
        <f>HLOOKUP(Table59[Product],Comb_scrd[#All],230,FALSE)</f>
        <v>YES</v>
      </c>
      <c r="M294" s="177" t="str">
        <f>HLOOKUP(Table59[Product],Comb_scrd[#All],231,FALSE)</f>
        <v>PASS</v>
      </c>
      <c r="N294" s="177" t="str">
        <f>IF(SUMPRODUCT(--ISNUMBER(FIND("FAIL",Table59[[#This Row],[Blocking Under Extended Attack]:[Persistence of Data]])))=0,"PASS","FAIL")</f>
        <v>PASS</v>
      </c>
      <c r="P294" s="173"/>
      <c r="Q294" s="173"/>
      <c r="R294" s="173"/>
      <c r="S294" s="173"/>
      <c r="T294" s="173"/>
      <c r="U294" s="173"/>
      <c r="V294" s="173"/>
      <c r="W294" s="173"/>
      <c r="X294" s="173"/>
      <c r="Y294" s="173"/>
      <c r="Z294" s="173"/>
      <c r="AA294" s="173"/>
      <c r="AB294" s="173"/>
      <c r="AC294" s="173"/>
      <c r="AD294" s="173"/>
      <c r="AE294" s="173"/>
      <c r="AF294" s="173"/>
      <c r="AG294" s="173"/>
      <c r="AH294" s="173"/>
      <c r="AI294" s="173"/>
      <c r="AJ294" s="173"/>
      <c r="AK294" s="173"/>
      <c r="AL294" s="173"/>
      <c r="AM294" s="173"/>
      <c r="AN294" s="173"/>
      <c r="AO294" s="173"/>
      <c r="AP294" s="173"/>
      <c r="AQ294" s="173"/>
      <c r="AR294" s="173"/>
      <c r="AS294" s="173"/>
      <c r="AT294" s="173"/>
      <c r="AU294" s="173"/>
      <c r="AV294" s="173"/>
      <c r="AW294" s="173"/>
      <c r="AX294" s="173"/>
      <c r="AY294" s="173"/>
      <c r="AZ294" s="173"/>
      <c r="BA294" s="173"/>
      <c r="BB294" s="173"/>
      <c r="BC294" s="173"/>
      <c r="BD294" s="173"/>
      <c r="BE294" s="173"/>
      <c r="BF294" s="173"/>
      <c r="BG294" s="173"/>
      <c r="BH294" s="173"/>
      <c r="BI294" s="173"/>
      <c r="BJ294" s="173"/>
      <c r="BK294" s="173"/>
      <c r="BL294" s="173"/>
      <c r="BM294" s="173"/>
      <c r="BN294" s="173"/>
      <c r="BO294" s="173"/>
      <c r="BP294" s="173"/>
      <c r="BQ294" s="173"/>
      <c r="BR294" s="173"/>
      <c r="BS294" s="173"/>
      <c r="BT294" s="173"/>
      <c r="BU294" s="173"/>
      <c r="BV294" s="173"/>
      <c r="BW294" s="173"/>
      <c r="BX294" s="173"/>
      <c r="BY294" s="173"/>
      <c r="BZ294" s="173"/>
      <c r="CA294" s="173"/>
      <c r="CB294" s="173"/>
      <c r="CC294" s="173"/>
      <c r="CD294" s="173"/>
      <c r="CE294" s="173"/>
      <c r="CF294" s="173"/>
      <c r="CG294" s="173"/>
      <c r="CH294" s="173"/>
      <c r="CI294" s="173"/>
      <c r="CJ294" s="173"/>
      <c r="CK294" s="173"/>
      <c r="CL294" s="173"/>
      <c r="CM294" s="173"/>
      <c r="CN294" s="173"/>
      <c r="CO294" s="173"/>
      <c r="CP294" s="173"/>
      <c r="CQ294" s="173"/>
      <c r="CR294" s="173"/>
      <c r="CS294" s="173"/>
      <c r="CT294" s="173"/>
      <c r="CU294" s="173"/>
      <c r="CV294" s="173"/>
      <c r="CW294" s="173"/>
      <c r="CX294" s="173"/>
      <c r="CY294" s="173"/>
      <c r="CZ294" s="173"/>
      <c r="DA294" s="173"/>
      <c r="DB294" s="173"/>
      <c r="DC294" s="173"/>
      <c r="DD294" s="173"/>
      <c r="DE294" s="173"/>
      <c r="DF294" s="173"/>
      <c r="DG294" s="173"/>
      <c r="DH294" s="173"/>
      <c r="DI294" s="173"/>
      <c r="DJ294" s="173"/>
      <c r="DK294" s="173"/>
      <c r="DL294" s="173"/>
      <c r="DM294" s="173"/>
      <c r="DN294" s="173"/>
      <c r="DO294" s="173"/>
      <c r="DP294" s="173"/>
      <c r="DQ294" s="173"/>
      <c r="DR294" s="173"/>
      <c r="DS294" s="173"/>
      <c r="DT294" s="173"/>
      <c r="DU294" s="173"/>
      <c r="DV294" s="173"/>
      <c r="DW294" s="173"/>
      <c r="DX294" s="173"/>
      <c r="DY294" s="173"/>
      <c r="DZ294" s="173"/>
      <c r="EA294" s="173"/>
      <c r="EB294" s="173"/>
      <c r="EC294" s="173"/>
      <c r="ED294" s="173"/>
      <c r="EE294" s="173"/>
      <c r="EF294" s="173"/>
      <c r="EG294" s="173"/>
      <c r="EH294" s="173"/>
      <c r="EI294" s="173"/>
      <c r="EJ294" s="173"/>
      <c r="EK294" s="173"/>
      <c r="EL294" s="173"/>
      <c r="EM294" s="173"/>
      <c r="EN294" s="173"/>
      <c r="EO294" s="173"/>
      <c r="EP294" s="173"/>
      <c r="EQ294" s="173"/>
      <c r="ER294" s="173"/>
      <c r="ES294" s="173"/>
      <c r="ET294" s="173"/>
      <c r="EU294" s="173"/>
      <c r="EV294" s="173"/>
      <c r="EW294" s="173"/>
      <c r="EX294" s="173"/>
      <c r="EY294" s="173"/>
      <c r="EZ294" s="173"/>
      <c r="FA294" s="173"/>
      <c r="FB294" s="173"/>
      <c r="FC294" s="173"/>
      <c r="FD294" s="173"/>
      <c r="FE294" s="173"/>
      <c r="FF294" s="173"/>
      <c r="FG294" s="173"/>
      <c r="FH294" s="173"/>
      <c r="FI294" s="173"/>
      <c r="FJ294" s="173"/>
      <c r="FK294" s="173"/>
      <c r="FL294" s="173"/>
      <c r="FM294" s="173"/>
      <c r="FN294" s="173"/>
      <c r="FO294" s="173"/>
      <c r="FP294" s="173"/>
      <c r="FQ294" s="173"/>
      <c r="FR294" s="173"/>
      <c r="FS294" s="173"/>
      <c r="FT294" s="173"/>
      <c r="FU294" s="173"/>
      <c r="FV294" s="173"/>
      <c r="FW294" s="173"/>
      <c r="FX294" s="173"/>
      <c r="FY294" s="173"/>
      <c r="FZ294" s="173"/>
      <c r="GA294" s="173"/>
      <c r="GB294" s="173"/>
      <c r="GC294" s="173"/>
      <c r="GD294" s="173"/>
      <c r="GE294" s="173"/>
      <c r="GF294" s="173"/>
      <c r="GG294" s="173"/>
      <c r="GH294" s="173"/>
      <c r="GI294" s="173"/>
      <c r="GJ294" s="173"/>
      <c r="GK294" s="173"/>
      <c r="GL294" s="173"/>
      <c r="GM294" s="173"/>
      <c r="GN294" s="173"/>
      <c r="GO294" s="173"/>
      <c r="GP294" s="173"/>
      <c r="GQ294" s="173"/>
      <c r="GR294" s="173"/>
      <c r="GS294" s="173"/>
      <c r="GT294" s="173"/>
      <c r="GU294" s="173"/>
      <c r="GV294" s="173"/>
      <c r="GW294" s="173"/>
      <c r="GX294" s="173"/>
      <c r="GY294" s="173"/>
      <c r="GZ294" s="173"/>
      <c r="HA294" s="173"/>
      <c r="HB294" s="173"/>
      <c r="HC294" s="173"/>
      <c r="HD294" s="173"/>
      <c r="HE294" s="173"/>
      <c r="HF294" s="173"/>
      <c r="HG294" s="173"/>
      <c r="HH294" s="173"/>
      <c r="HI294" s="173"/>
      <c r="HJ294" s="173"/>
      <c r="HK294" s="173"/>
      <c r="HL294" s="173"/>
      <c r="HM294" s="173"/>
      <c r="HN294" s="173"/>
      <c r="HO294" s="173"/>
      <c r="HP294" s="173"/>
      <c r="HQ294" s="173"/>
      <c r="HR294" s="173"/>
      <c r="HS294" s="173"/>
      <c r="HT294" s="173"/>
      <c r="HU294" s="173"/>
      <c r="HV294" s="173"/>
      <c r="HW294" s="173"/>
      <c r="HX294" s="173"/>
      <c r="HY294" s="173"/>
      <c r="HZ294" s="173"/>
      <c r="IA294" s="173"/>
      <c r="IB294" s="173"/>
      <c r="IC294" s="173"/>
      <c r="ID294" s="173"/>
      <c r="IE294" s="173"/>
      <c r="IF294" s="173"/>
      <c r="IG294" s="173"/>
      <c r="IH294" s="173"/>
      <c r="II294" s="173"/>
      <c r="IJ294" s="173"/>
      <c r="IK294" s="173"/>
      <c r="IL294" s="173"/>
      <c r="IM294" s="173"/>
      <c r="IN294" s="173"/>
      <c r="IO294" s="173"/>
      <c r="IP294" s="173"/>
      <c r="IQ294" s="173"/>
      <c r="IR294" s="173"/>
      <c r="IS294" s="173"/>
      <c r="IT294" s="173"/>
      <c r="IU294" s="173"/>
      <c r="IV294" s="173"/>
      <c r="IW294" s="173"/>
      <c r="IX294" s="173"/>
      <c r="IY294" s="173"/>
      <c r="IZ294" s="173"/>
      <c r="JA294" s="173"/>
      <c r="JB294" s="173"/>
      <c r="JC294" s="173"/>
      <c r="JD294" s="173"/>
      <c r="JE294" s="173"/>
      <c r="JF294" s="173"/>
      <c r="JG294" s="173"/>
      <c r="JH294" s="173"/>
      <c r="JI294" s="173"/>
      <c r="JJ294" s="173"/>
      <c r="JK294" s="173"/>
      <c r="JL294" s="173"/>
      <c r="JM294" s="173"/>
      <c r="JN294" s="173"/>
      <c r="JO294" s="173"/>
      <c r="JP294" s="173"/>
      <c r="JQ294" s="173"/>
      <c r="JR294" s="173"/>
      <c r="JS294" s="173"/>
      <c r="JT294" s="173"/>
      <c r="JU294" s="173"/>
      <c r="JV294" s="173"/>
      <c r="JW294" s="173"/>
      <c r="JX294" s="173"/>
      <c r="JY294" s="173"/>
      <c r="JZ294" s="173"/>
      <c r="KA294" s="173"/>
      <c r="KB294" s="173"/>
      <c r="KC294" s="173"/>
      <c r="KD294" s="173"/>
      <c r="KE294" s="173"/>
      <c r="KF294" s="173"/>
      <c r="KG294" s="173"/>
      <c r="KH294" s="173"/>
      <c r="KI294" s="173"/>
      <c r="KJ294" s="173"/>
      <c r="KK294" s="173"/>
      <c r="KL294" s="173"/>
      <c r="KM294" s="173"/>
      <c r="KN294" s="173"/>
      <c r="KO294" s="173"/>
      <c r="KP294" s="173"/>
      <c r="KQ294" s="173"/>
      <c r="KR294" s="173"/>
      <c r="KS294" s="173"/>
      <c r="KT294" s="173"/>
      <c r="KU294" s="173"/>
      <c r="KV294" s="173"/>
      <c r="KW294" s="173"/>
      <c r="KX294" s="173"/>
      <c r="KY294" s="173"/>
      <c r="KZ294" s="173"/>
      <c r="LA294" s="173"/>
      <c r="LB294" s="173"/>
      <c r="LC294" s="173"/>
      <c r="LD294" s="173"/>
      <c r="LE294" s="173"/>
      <c r="LF294" s="173"/>
      <c r="LG294" s="173"/>
      <c r="LH294" s="173"/>
      <c r="LI294" s="173"/>
      <c r="LJ294" s="173"/>
      <c r="LK294" s="173"/>
      <c r="LL294" s="173"/>
      <c r="LM294" s="173"/>
      <c r="LN294" s="173"/>
      <c r="LO294" s="173"/>
      <c r="LP294" s="173"/>
      <c r="LQ294" s="173"/>
      <c r="LR294" s="173"/>
      <c r="LS294" s="173"/>
      <c r="LT294" s="173"/>
      <c r="LU294" s="173"/>
      <c r="LV294" s="173"/>
      <c r="LW294" s="173"/>
      <c r="LX294" s="173"/>
      <c r="LY294" s="173"/>
      <c r="LZ294" s="173"/>
      <c r="MA294" s="173"/>
      <c r="MB294" s="173"/>
      <c r="MC294" s="173"/>
      <c r="MD294" s="173"/>
      <c r="ME294" s="173"/>
      <c r="MF294" s="173"/>
      <c r="MG294" s="173"/>
      <c r="MH294" s="173"/>
      <c r="MI294" s="173"/>
      <c r="MJ294" s="173"/>
      <c r="MK294" s="173"/>
      <c r="ML294" s="173"/>
      <c r="MM294" s="173"/>
      <c r="MN294" s="173"/>
      <c r="MO294" s="173"/>
      <c r="MP294" s="173"/>
      <c r="MQ294" s="173"/>
      <c r="MR294" s="173"/>
      <c r="MS294" s="173"/>
      <c r="MT294" s="173"/>
      <c r="MU294" s="173"/>
      <c r="MV294" s="173"/>
      <c r="MW294" s="173"/>
      <c r="MX294" s="173"/>
      <c r="MY294" s="173"/>
      <c r="MZ294" s="173"/>
      <c r="NA294" s="173"/>
      <c r="NB294" s="173"/>
      <c r="NC294" s="173"/>
      <c r="ND294" s="173"/>
      <c r="NE294" s="173"/>
      <c r="NF294" s="173"/>
      <c r="NG294" s="173"/>
      <c r="NH294" s="173"/>
      <c r="NI294" s="173"/>
      <c r="NJ294" s="173"/>
      <c r="NK294" s="173"/>
      <c r="NL294" s="173"/>
      <c r="NM294" s="173"/>
      <c r="NN294" s="173"/>
      <c r="NO294" s="173"/>
      <c r="NP294" s="173"/>
      <c r="NQ294" s="173"/>
      <c r="NR294" s="173"/>
      <c r="NS294" s="173"/>
      <c r="NT294" s="173"/>
      <c r="NU294" s="173"/>
      <c r="NV294" s="173"/>
      <c r="NW294" s="173"/>
      <c r="NX294" s="173"/>
      <c r="NY294" s="173"/>
      <c r="NZ294" s="173"/>
      <c r="OA294" s="173"/>
      <c r="OB294" s="173"/>
      <c r="OC294" s="173"/>
      <c r="OD294" s="173"/>
      <c r="OE294" s="173"/>
      <c r="OF294" s="173"/>
      <c r="OG294" s="173"/>
      <c r="OH294" s="173"/>
      <c r="OI294" s="173"/>
      <c r="OJ294" s="173"/>
      <c r="OK294" s="173"/>
      <c r="OL294" s="173"/>
      <c r="OM294" s="173"/>
      <c r="ON294" s="173"/>
      <c r="OO294" s="173"/>
      <c r="OP294" s="173"/>
      <c r="OQ294" s="173"/>
      <c r="OR294" s="173"/>
      <c r="OS294" s="173"/>
      <c r="OT294" s="173"/>
      <c r="OU294" s="173"/>
      <c r="OV294" s="173"/>
      <c r="OW294" s="173"/>
      <c r="OX294" s="173"/>
      <c r="OY294" s="173"/>
      <c r="OZ294" s="173"/>
      <c r="PA294" s="173"/>
      <c r="PB294" s="173"/>
      <c r="PC294" s="173"/>
      <c r="PD294" s="173"/>
      <c r="PE294" s="173"/>
      <c r="PF294" s="173"/>
      <c r="PG294" s="173"/>
      <c r="PH294" s="173"/>
      <c r="PI294" s="173"/>
      <c r="PJ294" s="173"/>
      <c r="PK294" s="173"/>
      <c r="PL294" s="173"/>
      <c r="PM294" s="173"/>
      <c r="PN294" s="173"/>
      <c r="PO294" s="173"/>
      <c r="PP294" s="173"/>
      <c r="PQ294" s="173"/>
      <c r="PR294" s="173"/>
      <c r="PS294" s="173"/>
      <c r="PT294" s="173"/>
      <c r="PU294" s="173"/>
      <c r="PV294" s="173"/>
      <c r="PW294" s="173"/>
      <c r="PX294" s="173"/>
      <c r="PY294" s="173"/>
      <c r="PZ294" s="173"/>
      <c r="QA294" s="173"/>
      <c r="QB294" s="173"/>
      <c r="QC294" s="173"/>
      <c r="QD294" s="173"/>
      <c r="QE294" s="173"/>
      <c r="QF294" s="173"/>
      <c r="QG294" s="173"/>
      <c r="QH294" s="173"/>
      <c r="QI294" s="173"/>
      <c r="QJ294" s="173"/>
      <c r="QK294" s="173"/>
      <c r="QL294" s="173"/>
      <c r="QM294" s="173"/>
      <c r="QN294" s="173"/>
      <c r="QO294" s="173"/>
      <c r="QP294" s="173"/>
      <c r="QQ294" s="173"/>
      <c r="QR294" s="173"/>
      <c r="QS294" s="173"/>
      <c r="QT294" s="173"/>
      <c r="QU294" s="173"/>
      <c r="QV294" s="173"/>
      <c r="QW294" s="173"/>
      <c r="QX294" s="173"/>
      <c r="QY294" s="173"/>
      <c r="QZ294" s="173"/>
      <c r="RA294" s="173"/>
      <c r="RB294" s="173"/>
      <c r="RC294" s="173"/>
      <c r="RD294" s="173"/>
      <c r="RE294" s="173"/>
      <c r="RF294" s="173"/>
      <c r="RG294" s="173"/>
      <c r="RH294" s="173"/>
      <c r="RI294" s="173"/>
      <c r="RJ294" s="173"/>
      <c r="RK294" s="173"/>
      <c r="RL294" s="173"/>
      <c r="RM294" s="173"/>
      <c r="RN294" s="173"/>
      <c r="RO294" s="173"/>
      <c r="RP294" s="173"/>
      <c r="RQ294" s="173"/>
      <c r="RR294" s="173"/>
      <c r="RS294" s="173"/>
      <c r="RT294" s="173"/>
      <c r="RU294" s="173"/>
      <c r="RV294" s="173"/>
      <c r="RW294" s="173"/>
      <c r="RX294" s="173"/>
      <c r="RY294" s="173"/>
      <c r="RZ294" s="173"/>
      <c r="SA294" s="173"/>
      <c r="SB294" s="173"/>
      <c r="SC294" s="173"/>
      <c r="SD294" s="173"/>
      <c r="SE294" s="173"/>
      <c r="SF294" s="173"/>
      <c r="SG294" s="173"/>
      <c r="SH294" s="173"/>
      <c r="SI294" s="173"/>
      <c r="SJ294" s="173"/>
      <c r="SK294" s="173"/>
      <c r="SL294" s="173"/>
      <c r="SM294" s="173"/>
      <c r="SN294" s="173"/>
      <c r="SO294" s="173"/>
      <c r="SP294" s="173"/>
      <c r="SQ294" s="173"/>
      <c r="SR294" s="173"/>
      <c r="SS294" s="173"/>
      <c r="ST294" s="173"/>
      <c r="SU294" s="173"/>
      <c r="SV294" s="173"/>
      <c r="SW294" s="173"/>
      <c r="SX294" s="173"/>
      <c r="SY294" s="173"/>
      <c r="SZ294" s="173"/>
      <c r="TA294" s="173"/>
      <c r="TB294" s="173"/>
      <c r="TC294" s="173"/>
      <c r="TD294" s="173"/>
      <c r="TE294" s="173"/>
      <c r="TF294" s="173"/>
      <c r="TG294" s="173"/>
      <c r="TH294" s="173"/>
      <c r="TI294" s="173"/>
      <c r="TJ294" s="173"/>
      <c r="TK294" s="173"/>
      <c r="TL294" s="173"/>
      <c r="TM294" s="173"/>
      <c r="TN294" s="173"/>
      <c r="TO294" s="173"/>
      <c r="TP294" s="173"/>
      <c r="TQ294" s="173"/>
      <c r="TR294" s="173"/>
      <c r="TS294" s="173"/>
      <c r="TT294" s="173"/>
      <c r="TU294" s="173"/>
      <c r="TV294" s="173"/>
      <c r="TW294" s="173"/>
      <c r="TX294" s="173"/>
      <c r="TY294" s="173"/>
      <c r="TZ294" s="173"/>
      <c r="UA294" s="173"/>
      <c r="UB294" s="173"/>
      <c r="UC294" s="173"/>
      <c r="UD294" s="173"/>
      <c r="UE294" s="173"/>
      <c r="UF294" s="173"/>
      <c r="UG294" s="173"/>
      <c r="UH294" s="173"/>
      <c r="UI294" s="173"/>
      <c r="UJ294" s="173"/>
      <c r="UK294" s="173"/>
      <c r="UL294" s="173"/>
      <c r="UM294" s="173"/>
      <c r="UN294" s="173"/>
      <c r="UO294" s="173"/>
      <c r="UP294" s="173"/>
      <c r="UQ294" s="173"/>
      <c r="UR294" s="173"/>
      <c r="US294" s="173"/>
      <c r="UT294" s="173"/>
      <c r="UU294" s="173"/>
      <c r="UV294" s="173"/>
      <c r="UW294" s="173"/>
      <c r="UX294" s="173"/>
      <c r="UY294" s="173"/>
      <c r="UZ294" s="173"/>
      <c r="VA294" s="173"/>
      <c r="VB294" s="173"/>
      <c r="VC294" s="173"/>
      <c r="VD294" s="173"/>
      <c r="VE294" s="173"/>
      <c r="VF294" s="173"/>
      <c r="VG294" s="173"/>
      <c r="VH294" s="173"/>
      <c r="VI294" s="173"/>
      <c r="VJ294" s="173"/>
      <c r="VK294" s="173"/>
      <c r="VL294" s="173"/>
      <c r="VM294" s="173"/>
      <c r="VN294" s="173"/>
      <c r="VO294" s="173"/>
      <c r="VP294" s="173"/>
      <c r="VQ294" s="173"/>
      <c r="VR294" s="173"/>
      <c r="VS294" s="173"/>
      <c r="VT294" s="173"/>
      <c r="VU294" s="173"/>
      <c r="VV294" s="173"/>
      <c r="VW294" s="173"/>
      <c r="VX294" s="173"/>
      <c r="VY294" s="173"/>
      <c r="VZ294" s="173"/>
      <c r="WA294" s="173"/>
      <c r="WB294" s="173"/>
      <c r="WC294" s="173"/>
      <c r="WD294" s="173"/>
      <c r="WE294" s="173"/>
      <c r="WF294" s="173"/>
      <c r="WG294" s="173"/>
      <c r="WH294" s="173"/>
      <c r="WI294" s="173"/>
      <c r="WJ294" s="173"/>
      <c r="WK294" s="173"/>
      <c r="WL294" s="173"/>
      <c r="WM294" s="173"/>
      <c r="WN294" s="173"/>
      <c r="WO294" s="173"/>
      <c r="WP294" s="173"/>
    </row>
    <row r="295" spans="1:614">
      <c r="A295" s="173"/>
      <c r="B295" s="133" t="str">
        <f>Comb_scrd[[#Headers],[Fortinet FortiGate-1500D]]</f>
        <v>Fortinet FortiGate-1500D</v>
      </c>
      <c r="C295" s="170" t="str">
        <f>HLOOKUP(Table59[Product],Comb_scrd[#All],220,FALSE)</f>
        <v>PASS</v>
      </c>
      <c r="D295" s="170" t="str">
        <f>HLOOKUP(Table59[Product],Comb_scrd[#All],221,FALSE)</f>
        <v>PASS</v>
      </c>
      <c r="E295" s="170" t="str">
        <f>HLOOKUP(Table59[Product],Comb_scrd[#All],223,FALSE)</f>
        <v>PASS</v>
      </c>
      <c r="F295" s="170" t="str">
        <f>HLOOKUP(Table59[Product],Comb_scrd[#All],224,FALSE)</f>
        <v>PASS</v>
      </c>
      <c r="G295" s="170" t="str">
        <f>HLOOKUP(Table59[Product],Comb_scrd[#All],225,FALSE)</f>
        <v>PASS</v>
      </c>
      <c r="H295" s="170" t="str">
        <f>HLOOKUP(Table59[Product],Comb_scrd[#All],226,FALSE)</f>
        <v>PASS</v>
      </c>
      <c r="I295" s="170" t="str">
        <f>HLOOKUP(Table59[Product],Comb_scrd[#All],227,FALSE)</f>
        <v>PASS</v>
      </c>
      <c r="J295" s="170" t="str">
        <f>HLOOKUP(Table59[Product],Comb_scrd[#All],228,FALSE)</f>
        <v>PASS</v>
      </c>
      <c r="K295" s="170" t="str">
        <f>HLOOKUP(Table59[Product],Comb_scrd[#All],229,FALSE)</f>
        <v>PASS</v>
      </c>
      <c r="L295" s="170" t="str">
        <f>HLOOKUP(Table59[Product],Comb_scrd[#All],230,FALSE)</f>
        <v>YES</v>
      </c>
      <c r="M295" s="170" t="str">
        <f>HLOOKUP(Table59[Product],Comb_scrd[#All],231,FALSE)</f>
        <v>PASS</v>
      </c>
      <c r="N295" s="170" t="str">
        <f>IF(SUMPRODUCT(--ISNUMBER(FIND("FAIL",Table59[[#This Row],[Blocking Under Extended Attack]:[Persistence of Data]])))=0,"PASS","FAIL")</f>
        <v>PASS</v>
      </c>
      <c r="P295" s="173"/>
      <c r="Q295" s="173"/>
      <c r="R295" s="173"/>
      <c r="S295" s="173"/>
      <c r="T295" s="173"/>
      <c r="U295" s="173"/>
      <c r="V295" s="173"/>
      <c r="W295" s="173"/>
      <c r="X295" s="173"/>
      <c r="Y295" s="173"/>
      <c r="Z295" s="173"/>
      <c r="AA295" s="173"/>
      <c r="AB295" s="173"/>
      <c r="AC295" s="173"/>
      <c r="AD295" s="173"/>
      <c r="AE295" s="173"/>
      <c r="AF295" s="173"/>
      <c r="AG295" s="173"/>
      <c r="AH295" s="173"/>
      <c r="AI295" s="173"/>
      <c r="AJ295" s="173"/>
      <c r="AK295" s="173"/>
      <c r="AL295" s="173"/>
      <c r="AM295" s="173"/>
      <c r="AN295" s="173"/>
      <c r="AO295" s="173"/>
      <c r="AP295" s="173"/>
      <c r="AQ295" s="173"/>
      <c r="AR295" s="173"/>
      <c r="AS295" s="173"/>
      <c r="AT295" s="173"/>
      <c r="AU295" s="173"/>
      <c r="AV295" s="173"/>
      <c r="AW295" s="173"/>
      <c r="AX295" s="173"/>
      <c r="AY295" s="173"/>
      <c r="AZ295" s="173"/>
      <c r="BA295" s="173"/>
      <c r="BB295" s="173"/>
      <c r="BC295" s="173"/>
      <c r="BD295" s="173"/>
      <c r="BE295" s="173"/>
      <c r="BF295" s="173"/>
      <c r="BG295" s="173"/>
      <c r="BH295" s="173"/>
      <c r="BI295" s="173"/>
      <c r="BJ295" s="173"/>
      <c r="BK295" s="173"/>
      <c r="BL295" s="173"/>
      <c r="BM295" s="173"/>
      <c r="BN295" s="173"/>
      <c r="BO295" s="173"/>
      <c r="BP295" s="173"/>
      <c r="BQ295" s="173"/>
      <c r="BR295" s="173"/>
      <c r="BS295" s="173"/>
      <c r="BT295" s="173"/>
      <c r="BU295" s="173"/>
      <c r="BV295" s="173"/>
      <c r="BW295" s="173"/>
      <c r="BX295" s="173"/>
      <c r="BY295" s="173"/>
      <c r="BZ295" s="173"/>
      <c r="CA295" s="173"/>
      <c r="CB295" s="173"/>
      <c r="CC295" s="173"/>
      <c r="CD295" s="173"/>
      <c r="CE295" s="173"/>
      <c r="CF295" s="173"/>
      <c r="CG295" s="173"/>
      <c r="CH295" s="173"/>
      <c r="CI295" s="173"/>
      <c r="CJ295" s="173"/>
      <c r="CK295" s="173"/>
      <c r="CL295" s="173"/>
      <c r="CM295" s="173"/>
      <c r="CN295" s="173"/>
      <c r="CO295" s="173"/>
      <c r="CP295" s="173"/>
      <c r="CQ295" s="173"/>
      <c r="CR295" s="173"/>
      <c r="CS295" s="173"/>
      <c r="CT295" s="173"/>
      <c r="CU295" s="173"/>
      <c r="CV295" s="173"/>
      <c r="CW295" s="173"/>
      <c r="CX295" s="173"/>
      <c r="CY295" s="173"/>
      <c r="CZ295" s="173"/>
      <c r="DA295" s="173"/>
      <c r="DB295" s="173"/>
      <c r="DC295" s="173"/>
      <c r="DD295" s="173"/>
      <c r="DE295" s="173"/>
      <c r="DF295" s="173"/>
      <c r="DG295" s="173"/>
      <c r="DH295" s="173"/>
      <c r="DI295" s="173"/>
      <c r="DJ295" s="173"/>
      <c r="DK295" s="173"/>
      <c r="DL295" s="173"/>
      <c r="DM295" s="173"/>
      <c r="DN295" s="173"/>
      <c r="DO295" s="173"/>
      <c r="DP295" s="173"/>
      <c r="DQ295" s="173"/>
      <c r="DR295" s="173"/>
      <c r="DS295" s="173"/>
      <c r="DT295" s="173"/>
      <c r="DU295" s="173"/>
      <c r="DV295" s="173"/>
      <c r="DW295" s="173"/>
      <c r="DX295" s="173"/>
      <c r="DY295" s="173"/>
      <c r="DZ295" s="173"/>
      <c r="EA295" s="173"/>
      <c r="EB295" s="173"/>
      <c r="EC295" s="173"/>
      <c r="ED295" s="173"/>
      <c r="EE295" s="173"/>
      <c r="EF295" s="173"/>
      <c r="EG295" s="173"/>
      <c r="EH295" s="173"/>
      <c r="EI295" s="173"/>
      <c r="EJ295" s="173"/>
      <c r="EK295" s="173"/>
      <c r="EL295" s="173"/>
      <c r="EM295" s="173"/>
      <c r="EN295" s="173"/>
      <c r="EO295" s="173"/>
      <c r="EP295" s="173"/>
      <c r="EQ295" s="173"/>
      <c r="ER295" s="173"/>
      <c r="ES295" s="173"/>
      <c r="ET295" s="173"/>
      <c r="EU295" s="173"/>
      <c r="EV295" s="173"/>
      <c r="EW295" s="173"/>
      <c r="EX295" s="173"/>
      <c r="EY295" s="173"/>
      <c r="EZ295" s="173"/>
      <c r="FA295" s="173"/>
      <c r="FB295" s="173"/>
      <c r="FC295" s="173"/>
      <c r="FD295" s="173"/>
      <c r="FE295" s="173"/>
      <c r="FF295" s="173"/>
      <c r="FG295" s="173"/>
      <c r="FH295" s="173"/>
      <c r="FI295" s="173"/>
      <c r="FJ295" s="173"/>
      <c r="FK295" s="173"/>
      <c r="FL295" s="173"/>
      <c r="FM295" s="173"/>
      <c r="FN295" s="173"/>
      <c r="FO295" s="173"/>
      <c r="FP295" s="173"/>
      <c r="FQ295" s="173"/>
      <c r="FR295" s="173"/>
      <c r="FS295" s="173"/>
      <c r="FT295" s="173"/>
      <c r="FU295" s="173"/>
      <c r="FV295" s="173"/>
      <c r="FW295" s="173"/>
      <c r="FX295" s="173"/>
      <c r="FY295" s="173"/>
      <c r="FZ295" s="173"/>
      <c r="GA295" s="173"/>
      <c r="GB295" s="173"/>
      <c r="GC295" s="173"/>
      <c r="GD295" s="173"/>
      <c r="GE295" s="173"/>
      <c r="GF295" s="173"/>
      <c r="GG295" s="173"/>
      <c r="GH295" s="173"/>
      <c r="GI295" s="173"/>
      <c r="GJ295" s="173"/>
      <c r="GK295" s="173"/>
      <c r="GL295" s="173"/>
      <c r="GM295" s="173"/>
      <c r="GN295" s="173"/>
      <c r="GO295" s="173"/>
      <c r="GP295" s="173"/>
      <c r="GQ295" s="173"/>
      <c r="GR295" s="173"/>
      <c r="GS295" s="173"/>
      <c r="GT295" s="173"/>
      <c r="GU295" s="173"/>
      <c r="GV295" s="173"/>
      <c r="GW295" s="173"/>
      <c r="GX295" s="173"/>
      <c r="GY295" s="173"/>
      <c r="GZ295" s="173"/>
      <c r="HA295" s="173"/>
      <c r="HB295" s="173"/>
      <c r="HC295" s="173"/>
      <c r="HD295" s="173"/>
      <c r="HE295" s="173"/>
      <c r="HF295" s="173"/>
      <c r="HG295" s="173"/>
      <c r="HH295" s="173"/>
      <c r="HI295" s="173"/>
      <c r="HJ295" s="173"/>
      <c r="HK295" s="173"/>
      <c r="HL295" s="173"/>
      <c r="HM295" s="173"/>
      <c r="HN295" s="173"/>
      <c r="HO295" s="173"/>
      <c r="HP295" s="173"/>
      <c r="HQ295" s="173"/>
      <c r="HR295" s="173"/>
      <c r="HS295" s="173"/>
      <c r="HT295" s="173"/>
      <c r="HU295" s="173"/>
      <c r="HV295" s="173"/>
      <c r="HW295" s="173"/>
      <c r="HX295" s="173"/>
      <c r="HY295" s="173"/>
      <c r="HZ295" s="173"/>
      <c r="IA295" s="173"/>
      <c r="IB295" s="173"/>
      <c r="IC295" s="173"/>
      <c r="ID295" s="173"/>
      <c r="IE295" s="173"/>
      <c r="IF295" s="173"/>
      <c r="IG295" s="173"/>
      <c r="IH295" s="173"/>
      <c r="II295" s="173"/>
      <c r="IJ295" s="173"/>
      <c r="IK295" s="173"/>
      <c r="IL295" s="173"/>
      <c r="IM295" s="173"/>
      <c r="IN295" s="173"/>
      <c r="IO295" s="173"/>
      <c r="IP295" s="173"/>
      <c r="IQ295" s="173"/>
      <c r="IR295" s="173"/>
      <c r="IS295" s="173"/>
      <c r="IT295" s="173"/>
      <c r="IU295" s="173"/>
      <c r="IV295" s="173"/>
      <c r="IW295" s="173"/>
      <c r="IX295" s="173"/>
      <c r="IY295" s="173"/>
      <c r="IZ295" s="173"/>
      <c r="JA295" s="173"/>
      <c r="JB295" s="173"/>
      <c r="JC295" s="173"/>
      <c r="JD295" s="173"/>
      <c r="JE295" s="173"/>
      <c r="JF295" s="173"/>
      <c r="JG295" s="173"/>
      <c r="JH295" s="173"/>
      <c r="JI295" s="173"/>
      <c r="JJ295" s="173"/>
      <c r="JK295" s="173"/>
      <c r="JL295" s="173"/>
      <c r="JM295" s="173"/>
      <c r="JN295" s="173"/>
      <c r="JO295" s="173"/>
      <c r="JP295" s="173"/>
      <c r="JQ295" s="173"/>
      <c r="JR295" s="173"/>
      <c r="JS295" s="173"/>
      <c r="JT295" s="173"/>
      <c r="JU295" s="173"/>
      <c r="JV295" s="173"/>
      <c r="JW295" s="173"/>
      <c r="JX295" s="173"/>
      <c r="JY295" s="173"/>
      <c r="JZ295" s="173"/>
      <c r="KA295" s="173"/>
      <c r="KB295" s="173"/>
      <c r="KC295" s="173"/>
      <c r="KD295" s="173"/>
      <c r="KE295" s="173"/>
      <c r="KF295" s="173"/>
      <c r="KG295" s="173"/>
      <c r="KH295" s="173"/>
      <c r="KI295" s="173"/>
      <c r="KJ295" s="173"/>
      <c r="KK295" s="173"/>
      <c r="KL295" s="173"/>
      <c r="KM295" s="173"/>
      <c r="KN295" s="173"/>
      <c r="KO295" s="173"/>
      <c r="KP295" s="173"/>
      <c r="KQ295" s="173"/>
      <c r="KR295" s="173"/>
      <c r="KS295" s="173"/>
      <c r="KT295" s="173"/>
      <c r="KU295" s="173"/>
      <c r="KV295" s="173"/>
      <c r="KW295" s="173"/>
      <c r="KX295" s="173"/>
      <c r="KY295" s="173"/>
      <c r="KZ295" s="173"/>
      <c r="LA295" s="173"/>
      <c r="LB295" s="173"/>
      <c r="LC295" s="173"/>
      <c r="LD295" s="173"/>
      <c r="LE295" s="173"/>
      <c r="LF295" s="173"/>
      <c r="LG295" s="173"/>
      <c r="LH295" s="173"/>
      <c r="LI295" s="173"/>
      <c r="LJ295" s="173"/>
      <c r="LK295" s="173"/>
      <c r="LL295" s="173"/>
      <c r="LM295" s="173"/>
      <c r="LN295" s="173"/>
      <c r="LO295" s="173"/>
      <c r="LP295" s="173"/>
      <c r="LQ295" s="173"/>
      <c r="LR295" s="173"/>
      <c r="LS295" s="173"/>
      <c r="LT295" s="173"/>
      <c r="LU295" s="173"/>
      <c r="LV295" s="173"/>
      <c r="LW295" s="173"/>
      <c r="LX295" s="173"/>
      <c r="LY295" s="173"/>
      <c r="LZ295" s="173"/>
      <c r="MA295" s="173"/>
      <c r="MB295" s="173"/>
      <c r="MC295" s="173"/>
      <c r="MD295" s="173"/>
      <c r="ME295" s="173"/>
      <c r="MF295" s="173"/>
      <c r="MG295" s="173"/>
      <c r="MH295" s="173"/>
      <c r="MI295" s="173"/>
      <c r="MJ295" s="173"/>
      <c r="MK295" s="173"/>
      <c r="ML295" s="173"/>
      <c r="MM295" s="173"/>
      <c r="MN295" s="173"/>
      <c r="MO295" s="173"/>
      <c r="MP295" s="173"/>
      <c r="MQ295" s="173"/>
      <c r="MR295" s="173"/>
      <c r="MS295" s="173"/>
      <c r="MT295" s="173"/>
      <c r="MU295" s="173"/>
      <c r="MV295" s="173"/>
      <c r="MW295" s="173"/>
      <c r="MX295" s="173"/>
      <c r="MY295" s="173"/>
      <c r="MZ295" s="173"/>
      <c r="NA295" s="173"/>
      <c r="NB295" s="173"/>
      <c r="NC295" s="173"/>
      <c r="ND295" s="173"/>
      <c r="NE295" s="173"/>
      <c r="NF295" s="173"/>
      <c r="NG295" s="173"/>
      <c r="NH295" s="173"/>
      <c r="NI295" s="173"/>
      <c r="NJ295" s="173"/>
      <c r="NK295" s="173"/>
      <c r="NL295" s="173"/>
      <c r="NM295" s="173"/>
      <c r="NN295" s="173"/>
      <c r="NO295" s="173"/>
      <c r="NP295" s="173"/>
      <c r="NQ295" s="173"/>
      <c r="NR295" s="173"/>
      <c r="NS295" s="173"/>
      <c r="NT295" s="173"/>
      <c r="NU295" s="173"/>
      <c r="NV295" s="173"/>
      <c r="NW295" s="173"/>
      <c r="NX295" s="173"/>
      <c r="NY295" s="173"/>
      <c r="NZ295" s="173"/>
      <c r="OA295" s="173"/>
      <c r="OB295" s="173"/>
      <c r="OC295" s="173"/>
      <c r="OD295" s="173"/>
      <c r="OE295" s="173"/>
      <c r="OF295" s="173"/>
      <c r="OG295" s="173"/>
      <c r="OH295" s="173"/>
      <c r="OI295" s="173"/>
      <c r="OJ295" s="173"/>
      <c r="OK295" s="173"/>
      <c r="OL295" s="173"/>
      <c r="OM295" s="173"/>
      <c r="ON295" s="173"/>
      <c r="OO295" s="173"/>
      <c r="OP295" s="173"/>
      <c r="OQ295" s="173"/>
      <c r="OR295" s="173"/>
      <c r="OS295" s="173"/>
      <c r="OT295" s="173"/>
      <c r="OU295" s="173"/>
      <c r="OV295" s="173"/>
      <c r="OW295" s="173"/>
      <c r="OX295" s="173"/>
      <c r="OY295" s="173"/>
      <c r="OZ295" s="173"/>
      <c r="PA295" s="173"/>
      <c r="PB295" s="173"/>
      <c r="PC295" s="173"/>
      <c r="PD295" s="173"/>
      <c r="PE295" s="173"/>
      <c r="PF295" s="173"/>
      <c r="PG295" s="173"/>
      <c r="PH295" s="173"/>
      <c r="PI295" s="173"/>
      <c r="PJ295" s="173"/>
      <c r="PK295" s="173"/>
      <c r="PL295" s="173"/>
      <c r="PM295" s="173"/>
      <c r="PN295" s="173"/>
      <c r="PO295" s="173"/>
      <c r="PP295" s="173"/>
      <c r="PQ295" s="173"/>
      <c r="PR295" s="173"/>
      <c r="PS295" s="173"/>
      <c r="PT295" s="173"/>
      <c r="PU295" s="173"/>
      <c r="PV295" s="173"/>
      <c r="PW295" s="173"/>
      <c r="PX295" s="173"/>
      <c r="PY295" s="173"/>
      <c r="PZ295" s="173"/>
      <c r="QA295" s="173"/>
      <c r="QB295" s="173"/>
      <c r="QC295" s="173"/>
      <c r="QD295" s="173"/>
      <c r="QE295" s="173"/>
      <c r="QF295" s="173"/>
      <c r="QG295" s="173"/>
      <c r="QH295" s="173"/>
      <c r="QI295" s="173"/>
      <c r="QJ295" s="173"/>
      <c r="QK295" s="173"/>
      <c r="QL295" s="173"/>
      <c r="QM295" s="173"/>
      <c r="QN295" s="173"/>
      <c r="QO295" s="173"/>
      <c r="QP295" s="173"/>
      <c r="QQ295" s="173"/>
      <c r="QR295" s="173"/>
      <c r="QS295" s="173"/>
      <c r="QT295" s="173"/>
      <c r="QU295" s="173"/>
      <c r="QV295" s="173"/>
      <c r="QW295" s="173"/>
      <c r="QX295" s="173"/>
      <c r="QY295" s="173"/>
      <c r="QZ295" s="173"/>
      <c r="RA295" s="173"/>
      <c r="RB295" s="173"/>
      <c r="RC295" s="173"/>
      <c r="RD295" s="173"/>
      <c r="RE295" s="173"/>
      <c r="RF295" s="173"/>
      <c r="RG295" s="173"/>
      <c r="RH295" s="173"/>
      <c r="RI295" s="173"/>
      <c r="RJ295" s="173"/>
      <c r="RK295" s="173"/>
      <c r="RL295" s="173"/>
      <c r="RM295" s="173"/>
      <c r="RN295" s="173"/>
      <c r="RO295" s="173"/>
      <c r="RP295" s="173"/>
      <c r="RQ295" s="173"/>
      <c r="RR295" s="173"/>
      <c r="RS295" s="173"/>
      <c r="RT295" s="173"/>
      <c r="RU295" s="173"/>
      <c r="RV295" s="173"/>
      <c r="RW295" s="173"/>
      <c r="RX295" s="173"/>
      <c r="RY295" s="173"/>
      <c r="RZ295" s="173"/>
      <c r="SA295" s="173"/>
      <c r="SB295" s="173"/>
      <c r="SC295" s="173"/>
      <c r="SD295" s="173"/>
      <c r="SE295" s="173"/>
      <c r="SF295" s="173"/>
      <c r="SG295" s="173"/>
      <c r="SH295" s="173"/>
      <c r="SI295" s="173"/>
      <c r="SJ295" s="173"/>
      <c r="SK295" s="173"/>
      <c r="SL295" s="173"/>
      <c r="SM295" s="173"/>
      <c r="SN295" s="173"/>
      <c r="SO295" s="173"/>
      <c r="SP295" s="173"/>
      <c r="SQ295" s="173"/>
      <c r="SR295" s="173"/>
      <c r="SS295" s="173"/>
      <c r="ST295" s="173"/>
      <c r="SU295" s="173"/>
      <c r="SV295" s="173"/>
      <c r="SW295" s="173"/>
      <c r="SX295" s="173"/>
      <c r="SY295" s="173"/>
      <c r="SZ295" s="173"/>
      <c r="TA295" s="173"/>
      <c r="TB295" s="173"/>
      <c r="TC295" s="173"/>
      <c r="TD295" s="173"/>
      <c r="TE295" s="173"/>
      <c r="TF295" s="173"/>
      <c r="TG295" s="173"/>
      <c r="TH295" s="173"/>
      <c r="TI295" s="173"/>
      <c r="TJ295" s="173"/>
      <c r="TK295" s="173"/>
      <c r="TL295" s="173"/>
      <c r="TM295" s="173"/>
      <c r="TN295" s="173"/>
      <c r="TO295" s="173"/>
      <c r="TP295" s="173"/>
      <c r="TQ295" s="173"/>
      <c r="TR295" s="173"/>
      <c r="TS295" s="173"/>
      <c r="TT295" s="173"/>
      <c r="TU295" s="173"/>
      <c r="TV295" s="173"/>
      <c r="TW295" s="173"/>
      <c r="TX295" s="173"/>
      <c r="TY295" s="173"/>
      <c r="TZ295" s="173"/>
      <c r="UA295" s="173"/>
      <c r="UB295" s="173"/>
      <c r="UC295" s="173"/>
      <c r="UD295" s="173"/>
      <c r="UE295" s="173"/>
      <c r="UF295" s="173"/>
      <c r="UG295" s="173"/>
      <c r="UH295" s="173"/>
      <c r="UI295" s="173"/>
      <c r="UJ295" s="173"/>
      <c r="UK295" s="173"/>
      <c r="UL295" s="173"/>
      <c r="UM295" s="173"/>
      <c r="UN295" s="173"/>
      <c r="UO295" s="173"/>
      <c r="UP295" s="173"/>
      <c r="UQ295" s="173"/>
      <c r="UR295" s="173"/>
      <c r="US295" s="173"/>
      <c r="UT295" s="173"/>
      <c r="UU295" s="173"/>
      <c r="UV295" s="173"/>
      <c r="UW295" s="173"/>
      <c r="UX295" s="173"/>
      <c r="UY295" s="173"/>
      <c r="UZ295" s="173"/>
      <c r="VA295" s="173"/>
      <c r="VB295" s="173"/>
      <c r="VC295" s="173"/>
      <c r="VD295" s="173"/>
      <c r="VE295" s="173"/>
      <c r="VF295" s="173"/>
      <c r="VG295" s="173"/>
      <c r="VH295" s="173"/>
      <c r="VI295" s="173"/>
      <c r="VJ295" s="173"/>
      <c r="VK295" s="173"/>
      <c r="VL295" s="173"/>
      <c r="VM295" s="173"/>
      <c r="VN295" s="173"/>
      <c r="VO295" s="173"/>
      <c r="VP295" s="173"/>
      <c r="VQ295" s="173"/>
      <c r="VR295" s="173"/>
      <c r="VS295" s="173"/>
      <c r="VT295" s="173"/>
      <c r="VU295" s="173"/>
      <c r="VV295" s="173"/>
      <c r="VW295" s="173"/>
      <c r="VX295" s="173"/>
      <c r="VY295" s="173"/>
      <c r="VZ295" s="173"/>
      <c r="WA295" s="173"/>
      <c r="WB295" s="173"/>
      <c r="WC295" s="173"/>
      <c r="WD295" s="173"/>
      <c r="WE295" s="173"/>
      <c r="WF295" s="173"/>
      <c r="WG295" s="173"/>
      <c r="WH295" s="173"/>
      <c r="WI295" s="173"/>
      <c r="WJ295" s="173"/>
      <c r="WK295" s="173"/>
      <c r="WL295" s="173"/>
      <c r="WM295" s="173"/>
      <c r="WN295" s="173"/>
      <c r="WO295" s="173"/>
      <c r="WP295" s="173"/>
    </row>
    <row r="296" spans="1:614">
      <c r="A296" s="173"/>
      <c r="B296" s="133" t="str">
        <f>Comb_scrd[[#Headers],[HP TippingPoint S7500NX]]</f>
        <v>HP TippingPoint S7500NX</v>
      </c>
      <c r="C296" s="170" t="str">
        <f>HLOOKUP(Table59[Product],Comb_scrd[#All],220,FALSE)</f>
        <v>PASS</v>
      </c>
      <c r="D296" s="170" t="str">
        <f>HLOOKUP(Table59[Product],Comb_scrd[#All],221,FALSE)</f>
        <v>PASS</v>
      </c>
      <c r="E296" s="170" t="str">
        <f>HLOOKUP(Table59[Product],Comb_scrd[#All],223,FALSE)</f>
        <v>PASS</v>
      </c>
      <c r="F296" s="170" t="str">
        <f>HLOOKUP(Table59[Product],Comb_scrd[#All],224,FALSE)</f>
        <v>PASS</v>
      </c>
      <c r="G296" s="170" t="str">
        <f>HLOOKUP(Table59[Product],Comb_scrd[#All],225,FALSE)</f>
        <v>PASS</v>
      </c>
      <c r="H296" s="170" t="str">
        <f>HLOOKUP(Table59[Product],Comb_scrd[#All],226,FALSE)</f>
        <v>PASS</v>
      </c>
      <c r="I296" s="170" t="str">
        <f>HLOOKUP(Table59[Product],Comb_scrd[#All],227,FALSE)</f>
        <v>PASS</v>
      </c>
      <c r="J296" s="170" t="str">
        <f>HLOOKUP(Table59[Product],Comb_scrd[#All],228,FALSE)</f>
        <v>PASS</v>
      </c>
      <c r="K296" s="170" t="str">
        <f>HLOOKUP(Table59[Product],Comb_scrd[#All],229,FALSE)</f>
        <v>PASS</v>
      </c>
      <c r="L296" s="170" t="str">
        <f>HLOOKUP(Table59[Product],Comb_scrd[#All],230,FALSE)</f>
        <v>YES</v>
      </c>
      <c r="M296" s="170" t="str">
        <f>HLOOKUP(Table59[Product],Comb_scrd[#All],231,FALSE)</f>
        <v>PASS</v>
      </c>
      <c r="N296" s="170" t="str">
        <f>IF(SUMPRODUCT(--ISNUMBER(FIND("FAIL",Table59[[#This Row],[Blocking Under Extended Attack]:[Persistence of Data]])))=0,"PASS","FAIL")</f>
        <v>PASS</v>
      </c>
      <c r="P296" s="173"/>
      <c r="Q296" s="173"/>
      <c r="R296" s="173"/>
      <c r="S296" s="173"/>
      <c r="T296" s="173"/>
      <c r="U296" s="173"/>
      <c r="V296" s="173"/>
      <c r="W296" s="173"/>
      <c r="X296" s="173"/>
      <c r="Y296" s="173"/>
      <c r="Z296" s="173"/>
      <c r="AA296" s="173"/>
      <c r="AB296" s="173"/>
      <c r="AC296" s="173"/>
      <c r="AD296" s="173"/>
      <c r="AE296" s="173"/>
      <c r="AF296" s="173"/>
      <c r="AG296" s="173"/>
      <c r="AH296" s="173"/>
      <c r="AI296" s="173"/>
      <c r="AJ296" s="173"/>
      <c r="AK296" s="173"/>
      <c r="AL296" s="173"/>
      <c r="AM296" s="173"/>
      <c r="AN296" s="173"/>
      <c r="AO296" s="173"/>
      <c r="AP296" s="173"/>
      <c r="AQ296" s="173"/>
      <c r="AR296" s="173"/>
      <c r="AS296" s="173"/>
      <c r="AT296" s="173"/>
      <c r="AU296" s="173"/>
      <c r="AV296" s="173"/>
      <c r="AW296" s="173"/>
      <c r="AX296" s="173"/>
      <c r="AY296" s="173"/>
      <c r="AZ296" s="173"/>
      <c r="BA296" s="173"/>
      <c r="BB296" s="173"/>
      <c r="BC296" s="173"/>
      <c r="BD296" s="173"/>
      <c r="BE296" s="173"/>
      <c r="BF296" s="173"/>
      <c r="BG296" s="173"/>
      <c r="BH296" s="173"/>
      <c r="BI296" s="173"/>
      <c r="BJ296" s="173"/>
      <c r="BK296" s="173"/>
      <c r="BL296" s="173"/>
      <c r="BM296" s="173"/>
      <c r="BN296" s="173"/>
      <c r="BO296" s="173"/>
      <c r="BP296" s="173"/>
      <c r="BQ296" s="173"/>
      <c r="BR296" s="173"/>
      <c r="BS296" s="173"/>
      <c r="BT296" s="173"/>
      <c r="BU296" s="173"/>
      <c r="BV296" s="173"/>
      <c r="BW296" s="173"/>
      <c r="BX296" s="173"/>
      <c r="BY296" s="173"/>
      <c r="BZ296" s="173"/>
      <c r="CA296" s="173"/>
      <c r="CB296" s="173"/>
      <c r="CC296" s="173"/>
      <c r="CD296" s="173"/>
      <c r="CE296" s="173"/>
      <c r="CF296" s="173"/>
      <c r="CG296" s="173"/>
      <c r="CH296" s="173"/>
      <c r="CI296" s="173"/>
      <c r="CJ296" s="173"/>
      <c r="CK296" s="173"/>
      <c r="CL296" s="173"/>
      <c r="CM296" s="173"/>
      <c r="CN296" s="173"/>
      <c r="CO296" s="173"/>
      <c r="CP296" s="173"/>
      <c r="CQ296" s="173"/>
      <c r="CR296" s="173"/>
      <c r="CS296" s="173"/>
      <c r="CT296" s="173"/>
      <c r="CU296" s="173"/>
      <c r="CV296" s="173"/>
      <c r="CW296" s="173"/>
      <c r="CX296" s="173"/>
      <c r="CY296" s="173"/>
      <c r="CZ296" s="173"/>
      <c r="DA296" s="173"/>
      <c r="DB296" s="173"/>
      <c r="DC296" s="173"/>
      <c r="DD296" s="173"/>
      <c r="DE296" s="173"/>
      <c r="DF296" s="173"/>
      <c r="DG296" s="173"/>
      <c r="DH296" s="173"/>
      <c r="DI296" s="173"/>
      <c r="DJ296" s="173"/>
      <c r="DK296" s="173"/>
      <c r="DL296" s="173"/>
      <c r="DM296" s="173"/>
      <c r="DN296" s="173"/>
      <c r="DO296" s="173"/>
      <c r="DP296" s="173"/>
      <c r="DQ296" s="173"/>
      <c r="DR296" s="173"/>
      <c r="DS296" s="173"/>
      <c r="DT296" s="173"/>
      <c r="DU296" s="173"/>
      <c r="DV296" s="173"/>
      <c r="DW296" s="173"/>
      <c r="DX296" s="173"/>
      <c r="DY296" s="173"/>
      <c r="DZ296" s="173"/>
      <c r="EA296" s="173"/>
      <c r="EB296" s="173"/>
      <c r="EC296" s="173"/>
      <c r="ED296" s="173"/>
      <c r="EE296" s="173"/>
      <c r="EF296" s="173"/>
      <c r="EG296" s="173"/>
      <c r="EH296" s="173"/>
      <c r="EI296" s="173"/>
      <c r="EJ296" s="173"/>
      <c r="EK296" s="173"/>
      <c r="EL296" s="173"/>
      <c r="EM296" s="173"/>
      <c r="EN296" s="173"/>
      <c r="EO296" s="173"/>
      <c r="EP296" s="173"/>
      <c r="EQ296" s="173"/>
      <c r="ER296" s="173"/>
      <c r="ES296" s="173"/>
      <c r="ET296" s="173"/>
      <c r="EU296" s="173"/>
      <c r="EV296" s="173"/>
      <c r="EW296" s="173"/>
      <c r="EX296" s="173"/>
      <c r="EY296" s="173"/>
      <c r="EZ296" s="173"/>
      <c r="FA296" s="173"/>
      <c r="FB296" s="173"/>
      <c r="FC296" s="173"/>
      <c r="FD296" s="173"/>
      <c r="FE296" s="173"/>
      <c r="FF296" s="173"/>
      <c r="FG296" s="173"/>
      <c r="FH296" s="173"/>
      <c r="FI296" s="173"/>
      <c r="FJ296" s="173"/>
      <c r="FK296" s="173"/>
      <c r="FL296" s="173"/>
      <c r="FM296" s="173"/>
      <c r="FN296" s="173"/>
      <c r="FO296" s="173"/>
      <c r="FP296" s="173"/>
      <c r="FQ296" s="173"/>
      <c r="FR296" s="173"/>
      <c r="FS296" s="173"/>
      <c r="FT296" s="173"/>
      <c r="FU296" s="173"/>
      <c r="FV296" s="173"/>
      <c r="FW296" s="173"/>
      <c r="FX296" s="173"/>
      <c r="FY296" s="173"/>
      <c r="FZ296" s="173"/>
      <c r="GA296" s="173"/>
      <c r="GB296" s="173"/>
      <c r="GC296" s="173"/>
      <c r="GD296" s="173"/>
      <c r="GE296" s="173"/>
      <c r="GF296" s="173"/>
      <c r="GG296" s="173"/>
      <c r="GH296" s="173"/>
      <c r="GI296" s="173"/>
      <c r="GJ296" s="173"/>
      <c r="GK296" s="173"/>
      <c r="GL296" s="173"/>
      <c r="GM296" s="173"/>
      <c r="GN296" s="173"/>
      <c r="GO296" s="173"/>
      <c r="GP296" s="173"/>
      <c r="GQ296" s="173"/>
      <c r="GR296" s="173"/>
      <c r="GS296" s="173"/>
      <c r="GT296" s="173"/>
      <c r="GU296" s="173"/>
      <c r="GV296" s="173"/>
      <c r="GW296" s="173"/>
      <c r="GX296" s="173"/>
      <c r="GY296" s="173"/>
      <c r="GZ296" s="173"/>
      <c r="HA296" s="173"/>
      <c r="HB296" s="173"/>
      <c r="HC296" s="173"/>
      <c r="HD296" s="173"/>
      <c r="HE296" s="173"/>
      <c r="HF296" s="173"/>
      <c r="HG296" s="173"/>
      <c r="HH296" s="173"/>
      <c r="HI296" s="173"/>
      <c r="HJ296" s="173"/>
      <c r="HK296" s="173"/>
      <c r="HL296" s="173"/>
      <c r="HM296" s="173"/>
      <c r="HN296" s="173"/>
      <c r="HO296" s="173"/>
      <c r="HP296" s="173"/>
      <c r="HQ296" s="173"/>
      <c r="HR296" s="173"/>
      <c r="HS296" s="173"/>
      <c r="HT296" s="173"/>
      <c r="HU296" s="173"/>
      <c r="HV296" s="173"/>
      <c r="HW296" s="173"/>
      <c r="HX296" s="173"/>
      <c r="HY296" s="173"/>
      <c r="HZ296" s="173"/>
      <c r="IA296" s="173"/>
      <c r="IB296" s="173"/>
      <c r="IC296" s="173"/>
      <c r="ID296" s="173"/>
      <c r="IE296" s="173"/>
      <c r="IF296" s="173"/>
      <c r="IG296" s="173"/>
      <c r="IH296" s="173"/>
      <c r="II296" s="173"/>
      <c r="IJ296" s="173"/>
      <c r="IK296" s="173"/>
      <c r="IL296" s="173"/>
      <c r="IM296" s="173"/>
      <c r="IN296" s="173"/>
      <c r="IO296" s="173"/>
      <c r="IP296" s="173"/>
      <c r="IQ296" s="173"/>
      <c r="IR296" s="173"/>
      <c r="IS296" s="173"/>
      <c r="IT296" s="173"/>
      <c r="IU296" s="173"/>
      <c r="IV296" s="173"/>
      <c r="IW296" s="173"/>
      <c r="IX296" s="173"/>
      <c r="IY296" s="173"/>
      <c r="IZ296" s="173"/>
      <c r="JA296" s="173"/>
      <c r="JB296" s="173"/>
      <c r="JC296" s="173"/>
      <c r="JD296" s="173"/>
      <c r="JE296" s="173"/>
      <c r="JF296" s="173"/>
      <c r="JG296" s="173"/>
      <c r="JH296" s="173"/>
      <c r="JI296" s="173"/>
      <c r="JJ296" s="173"/>
      <c r="JK296" s="173"/>
      <c r="JL296" s="173"/>
      <c r="JM296" s="173"/>
      <c r="JN296" s="173"/>
      <c r="JO296" s="173"/>
      <c r="JP296" s="173"/>
      <c r="JQ296" s="173"/>
      <c r="JR296" s="173"/>
      <c r="JS296" s="173"/>
      <c r="JT296" s="173"/>
      <c r="JU296" s="173"/>
      <c r="JV296" s="173"/>
      <c r="JW296" s="173"/>
      <c r="JX296" s="173"/>
      <c r="JY296" s="173"/>
      <c r="JZ296" s="173"/>
      <c r="KA296" s="173"/>
      <c r="KB296" s="173"/>
      <c r="KC296" s="173"/>
      <c r="KD296" s="173"/>
      <c r="KE296" s="173"/>
      <c r="KF296" s="173"/>
      <c r="KG296" s="173"/>
      <c r="KH296" s="173"/>
      <c r="KI296" s="173"/>
      <c r="KJ296" s="173"/>
      <c r="KK296" s="173"/>
      <c r="KL296" s="173"/>
      <c r="KM296" s="173"/>
      <c r="KN296" s="173"/>
      <c r="KO296" s="173"/>
      <c r="KP296" s="173"/>
      <c r="KQ296" s="173"/>
      <c r="KR296" s="173"/>
      <c r="KS296" s="173"/>
      <c r="KT296" s="173"/>
      <c r="KU296" s="173"/>
      <c r="KV296" s="173"/>
      <c r="KW296" s="173"/>
      <c r="KX296" s="173"/>
      <c r="KY296" s="173"/>
      <c r="KZ296" s="173"/>
      <c r="LA296" s="173"/>
      <c r="LB296" s="173"/>
      <c r="LC296" s="173"/>
      <c r="LD296" s="173"/>
      <c r="LE296" s="173"/>
      <c r="LF296" s="173"/>
      <c r="LG296" s="173"/>
      <c r="LH296" s="173"/>
      <c r="LI296" s="173"/>
      <c r="LJ296" s="173"/>
      <c r="LK296" s="173"/>
      <c r="LL296" s="173"/>
      <c r="LM296" s="173"/>
      <c r="LN296" s="173"/>
      <c r="LO296" s="173"/>
      <c r="LP296" s="173"/>
      <c r="LQ296" s="173"/>
      <c r="LR296" s="173"/>
      <c r="LS296" s="173"/>
      <c r="LT296" s="173"/>
      <c r="LU296" s="173"/>
      <c r="LV296" s="173"/>
      <c r="LW296" s="173"/>
      <c r="LX296" s="173"/>
      <c r="LY296" s="173"/>
      <c r="LZ296" s="173"/>
      <c r="MA296" s="173"/>
      <c r="MB296" s="173"/>
      <c r="MC296" s="173"/>
      <c r="MD296" s="173"/>
      <c r="ME296" s="173"/>
      <c r="MF296" s="173"/>
      <c r="MG296" s="173"/>
      <c r="MH296" s="173"/>
      <c r="MI296" s="173"/>
      <c r="MJ296" s="173"/>
      <c r="MK296" s="173"/>
      <c r="ML296" s="173"/>
      <c r="MM296" s="173"/>
      <c r="MN296" s="173"/>
      <c r="MO296" s="173"/>
      <c r="MP296" s="173"/>
      <c r="MQ296" s="173"/>
      <c r="MR296" s="173"/>
      <c r="MS296" s="173"/>
      <c r="MT296" s="173"/>
      <c r="MU296" s="173"/>
      <c r="MV296" s="173"/>
      <c r="MW296" s="173"/>
      <c r="MX296" s="173"/>
      <c r="MY296" s="173"/>
      <c r="MZ296" s="173"/>
      <c r="NA296" s="173"/>
      <c r="NB296" s="173"/>
      <c r="NC296" s="173"/>
      <c r="ND296" s="173"/>
      <c r="NE296" s="173"/>
      <c r="NF296" s="173"/>
      <c r="NG296" s="173"/>
      <c r="NH296" s="173"/>
      <c r="NI296" s="173"/>
      <c r="NJ296" s="173"/>
      <c r="NK296" s="173"/>
      <c r="NL296" s="173"/>
      <c r="NM296" s="173"/>
      <c r="NN296" s="173"/>
      <c r="NO296" s="173"/>
      <c r="NP296" s="173"/>
      <c r="NQ296" s="173"/>
      <c r="NR296" s="173"/>
      <c r="NS296" s="173"/>
      <c r="NT296" s="173"/>
      <c r="NU296" s="173"/>
      <c r="NV296" s="173"/>
      <c r="NW296" s="173"/>
      <c r="NX296" s="173"/>
      <c r="NY296" s="173"/>
      <c r="NZ296" s="173"/>
      <c r="OA296" s="173"/>
      <c r="OB296" s="173"/>
      <c r="OC296" s="173"/>
      <c r="OD296" s="173"/>
      <c r="OE296" s="173"/>
      <c r="OF296" s="173"/>
      <c r="OG296" s="173"/>
      <c r="OH296" s="173"/>
      <c r="OI296" s="173"/>
      <c r="OJ296" s="173"/>
      <c r="OK296" s="173"/>
      <c r="OL296" s="173"/>
      <c r="OM296" s="173"/>
      <c r="ON296" s="173"/>
      <c r="OO296" s="173"/>
      <c r="OP296" s="173"/>
      <c r="OQ296" s="173"/>
      <c r="OR296" s="173"/>
      <c r="OS296" s="173"/>
      <c r="OT296" s="173"/>
      <c r="OU296" s="173"/>
      <c r="OV296" s="173"/>
      <c r="OW296" s="173"/>
      <c r="OX296" s="173"/>
      <c r="OY296" s="173"/>
      <c r="OZ296" s="173"/>
      <c r="PA296" s="173"/>
      <c r="PB296" s="173"/>
      <c r="PC296" s="173"/>
      <c r="PD296" s="173"/>
      <c r="PE296" s="173"/>
      <c r="PF296" s="173"/>
      <c r="PG296" s="173"/>
      <c r="PH296" s="173"/>
      <c r="PI296" s="173"/>
      <c r="PJ296" s="173"/>
      <c r="PK296" s="173"/>
      <c r="PL296" s="173"/>
      <c r="PM296" s="173"/>
      <c r="PN296" s="173"/>
      <c r="PO296" s="173"/>
      <c r="PP296" s="173"/>
      <c r="PQ296" s="173"/>
      <c r="PR296" s="173"/>
      <c r="PS296" s="173"/>
      <c r="PT296" s="173"/>
      <c r="PU296" s="173"/>
      <c r="PV296" s="173"/>
      <c r="PW296" s="173"/>
      <c r="PX296" s="173"/>
      <c r="PY296" s="173"/>
      <c r="PZ296" s="173"/>
      <c r="QA296" s="173"/>
      <c r="QB296" s="173"/>
      <c r="QC296" s="173"/>
      <c r="QD296" s="173"/>
      <c r="QE296" s="173"/>
      <c r="QF296" s="173"/>
      <c r="QG296" s="173"/>
      <c r="QH296" s="173"/>
      <c r="QI296" s="173"/>
      <c r="QJ296" s="173"/>
      <c r="QK296" s="173"/>
      <c r="QL296" s="173"/>
      <c r="QM296" s="173"/>
      <c r="QN296" s="173"/>
      <c r="QO296" s="173"/>
      <c r="QP296" s="173"/>
      <c r="QQ296" s="173"/>
      <c r="QR296" s="173"/>
      <c r="QS296" s="173"/>
      <c r="QT296" s="173"/>
      <c r="QU296" s="173"/>
      <c r="QV296" s="173"/>
      <c r="QW296" s="173"/>
      <c r="QX296" s="173"/>
      <c r="QY296" s="173"/>
      <c r="QZ296" s="173"/>
      <c r="RA296" s="173"/>
      <c r="RB296" s="173"/>
      <c r="RC296" s="173"/>
      <c r="RD296" s="173"/>
      <c r="RE296" s="173"/>
      <c r="RF296" s="173"/>
      <c r="RG296" s="173"/>
      <c r="RH296" s="173"/>
      <c r="RI296" s="173"/>
      <c r="RJ296" s="173"/>
      <c r="RK296" s="173"/>
      <c r="RL296" s="173"/>
      <c r="RM296" s="173"/>
      <c r="RN296" s="173"/>
      <c r="RO296" s="173"/>
      <c r="RP296" s="173"/>
      <c r="RQ296" s="173"/>
      <c r="RR296" s="173"/>
      <c r="RS296" s="173"/>
      <c r="RT296" s="173"/>
      <c r="RU296" s="173"/>
      <c r="RV296" s="173"/>
      <c r="RW296" s="173"/>
      <c r="RX296" s="173"/>
      <c r="RY296" s="173"/>
      <c r="RZ296" s="173"/>
      <c r="SA296" s="173"/>
      <c r="SB296" s="173"/>
      <c r="SC296" s="173"/>
      <c r="SD296" s="173"/>
      <c r="SE296" s="173"/>
      <c r="SF296" s="173"/>
      <c r="SG296" s="173"/>
      <c r="SH296" s="173"/>
      <c r="SI296" s="173"/>
      <c r="SJ296" s="173"/>
      <c r="SK296" s="173"/>
      <c r="SL296" s="173"/>
      <c r="SM296" s="173"/>
      <c r="SN296" s="173"/>
      <c r="SO296" s="173"/>
      <c r="SP296" s="173"/>
      <c r="SQ296" s="173"/>
      <c r="SR296" s="173"/>
      <c r="SS296" s="173"/>
      <c r="ST296" s="173"/>
      <c r="SU296" s="173"/>
      <c r="SV296" s="173"/>
      <c r="SW296" s="173"/>
      <c r="SX296" s="173"/>
      <c r="SY296" s="173"/>
      <c r="SZ296" s="173"/>
      <c r="TA296" s="173"/>
      <c r="TB296" s="173"/>
      <c r="TC296" s="173"/>
      <c r="TD296" s="173"/>
      <c r="TE296" s="173"/>
      <c r="TF296" s="173"/>
      <c r="TG296" s="173"/>
      <c r="TH296" s="173"/>
      <c r="TI296" s="173"/>
      <c r="TJ296" s="173"/>
      <c r="TK296" s="173"/>
      <c r="TL296" s="173"/>
      <c r="TM296" s="173"/>
      <c r="TN296" s="173"/>
      <c r="TO296" s="173"/>
      <c r="TP296" s="173"/>
      <c r="TQ296" s="173"/>
      <c r="TR296" s="173"/>
      <c r="TS296" s="173"/>
      <c r="TT296" s="173"/>
      <c r="TU296" s="173"/>
      <c r="TV296" s="173"/>
      <c r="TW296" s="173"/>
      <c r="TX296" s="173"/>
      <c r="TY296" s="173"/>
      <c r="TZ296" s="173"/>
      <c r="UA296" s="173"/>
      <c r="UB296" s="173"/>
      <c r="UC296" s="173"/>
      <c r="UD296" s="173"/>
      <c r="UE296" s="173"/>
      <c r="UF296" s="173"/>
      <c r="UG296" s="173"/>
      <c r="UH296" s="173"/>
      <c r="UI296" s="173"/>
      <c r="UJ296" s="173"/>
      <c r="UK296" s="173"/>
      <c r="UL296" s="173"/>
      <c r="UM296" s="173"/>
      <c r="UN296" s="173"/>
      <c r="UO296" s="173"/>
      <c r="UP296" s="173"/>
      <c r="UQ296" s="173"/>
      <c r="UR296" s="173"/>
      <c r="US296" s="173"/>
      <c r="UT296" s="173"/>
      <c r="UU296" s="173"/>
      <c r="UV296" s="173"/>
      <c r="UW296" s="173"/>
      <c r="UX296" s="173"/>
      <c r="UY296" s="173"/>
      <c r="UZ296" s="173"/>
      <c r="VA296" s="173"/>
      <c r="VB296" s="173"/>
      <c r="VC296" s="173"/>
      <c r="VD296" s="173"/>
      <c r="VE296" s="173"/>
      <c r="VF296" s="173"/>
      <c r="VG296" s="173"/>
      <c r="VH296" s="173"/>
      <c r="VI296" s="173"/>
      <c r="VJ296" s="173"/>
      <c r="VK296" s="173"/>
      <c r="VL296" s="173"/>
      <c r="VM296" s="173"/>
      <c r="VN296" s="173"/>
      <c r="VO296" s="173"/>
      <c r="VP296" s="173"/>
      <c r="VQ296" s="173"/>
      <c r="VR296" s="173"/>
      <c r="VS296" s="173"/>
      <c r="VT296" s="173"/>
      <c r="VU296" s="173"/>
      <c r="VV296" s="173"/>
      <c r="VW296" s="173"/>
      <c r="VX296" s="173"/>
      <c r="VY296" s="173"/>
      <c r="VZ296" s="173"/>
      <c r="WA296" s="173"/>
      <c r="WB296" s="173"/>
      <c r="WC296" s="173"/>
      <c r="WD296" s="173"/>
      <c r="WE296" s="173"/>
      <c r="WF296" s="173"/>
      <c r="WG296" s="173"/>
      <c r="WH296" s="173"/>
      <c r="WI296" s="173"/>
      <c r="WJ296" s="173"/>
      <c r="WK296" s="173"/>
      <c r="WL296" s="173"/>
      <c r="WM296" s="173"/>
      <c r="WN296" s="173"/>
      <c r="WO296" s="173"/>
      <c r="WP296" s="173"/>
    </row>
    <row r="297" spans="1:614">
      <c r="A297" s="173"/>
      <c r="B297" s="133" t="str">
        <f>Comb_scrd[[#Headers],[IBM Security Network Protection XGS 5100]]</f>
        <v>IBM Security Network Protection XGS 5100</v>
      </c>
      <c r="C297" s="170" t="str">
        <f>HLOOKUP(Table59[Product],Comb_scrd[#All],220,FALSE)</f>
        <v>PASS</v>
      </c>
      <c r="D297" s="170" t="str">
        <f>HLOOKUP(Table59[Product],Comb_scrd[#All],221,FALSE)</f>
        <v>PASS</v>
      </c>
      <c r="E297" s="170" t="str">
        <f>HLOOKUP(Table59[Product],Comb_scrd[#All],223,FALSE)</f>
        <v>PASS</v>
      </c>
      <c r="F297" s="170" t="str">
        <f>HLOOKUP(Table59[Product],Comb_scrd[#All],224,FALSE)</f>
        <v>PASS</v>
      </c>
      <c r="G297" s="170" t="str">
        <f>HLOOKUP(Table59[Product],Comb_scrd[#All],225,FALSE)</f>
        <v>PASS</v>
      </c>
      <c r="H297" s="170" t="str">
        <f>HLOOKUP(Table59[Product],Comb_scrd[#All],226,FALSE)</f>
        <v>PASS</v>
      </c>
      <c r="I297" s="170" t="str">
        <f>HLOOKUP(Table59[Product],Comb_scrd[#All],227,FALSE)</f>
        <v>PASS</v>
      </c>
      <c r="J297" s="170" t="str">
        <f>HLOOKUP(Table59[Product],Comb_scrd[#All],228,FALSE)</f>
        <v>PASS</v>
      </c>
      <c r="K297" s="170" t="str">
        <f>HLOOKUP(Table59[Product],Comb_scrd[#All],229,FALSE)</f>
        <v>PASS</v>
      </c>
      <c r="L297" s="170" t="str">
        <f>HLOOKUP(Table59[Product],Comb_scrd[#All],230,FALSE)</f>
        <v>YES</v>
      </c>
      <c r="M297" s="170" t="str">
        <f>HLOOKUP(Table59[Product],Comb_scrd[#All],231,FALSE)</f>
        <v>PASS</v>
      </c>
      <c r="N297" s="170" t="str">
        <f>IF(SUMPRODUCT(--ISNUMBER(FIND("FAIL",Table59[[#This Row],[Blocking Under Extended Attack]:[Persistence of Data]])))=0,"PASS","FAIL")</f>
        <v>PASS</v>
      </c>
      <c r="P297" s="173"/>
      <c r="Q297" s="173"/>
      <c r="R297" s="173"/>
      <c r="S297" s="173"/>
      <c r="T297" s="173"/>
      <c r="U297" s="173"/>
      <c r="V297" s="173"/>
      <c r="W297" s="173"/>
      <c r="X297" s="173"/>
      <c r="Y297" s="173"/>
      <c r="Z297" s="173"/>
      <c r="AA297" s="173"/>
      <c r="AB297" s="173"/>
      <c r="AC297" s="173"/>
      <c r="AD297" s="173"/>
      <c r="AE297" s="173"/>
      <c r="AF297" s="173"/>
      <c r="AG297" s="173"/>
      <c r="AH297" s="173"/>
      <c r="AI297" s="173"/>
      <c r="AJ297" s="173"/>
      <c r="AK297" s="173"/>
      <c r="AL297" s="173"/>
      <c r="AM297" s="173"/>
      <c r="AN297" s="173"/>
      <c r="AO297" s="173"/>
      <c r="AP297" s="173"/>
      <c r="AQ297" s="173"/>
      <c r="AR297" s="173"/>
      <c r="AS297" s="173"/>
      <c r="AT297" s="173"/>
      <c r="AU297" s="173"/>
      <c r="AV297" s="173"/>
      <c r="AW297" s="173"/>
      <c r="AX297" s="173"/>
      <c r="AY297" s="173"/>
      <c r="AZ297" s="173"/>
      <c r="BA297" s="173"/>
      <c r="BB297" s="173"/>
      <c r="BC297" s="173"/>
      <c r="BD297" s="173"/>
      <c r="BE297" s="173"/>
      <c r="BF297" s="173"/>
      <c r="BG297" s="173"/>
      <c r="BH297" s="173"/>
      <c r="BI297" s="173"/>
      <c r="BJ297" s="173"/>
      <c r="BK297" s="173"/>
      <c r="BL297" s="173"/>
      <c r="BM297" s="173"/>
      <c r="BN297" s="173"/>
      <c r="BO297" s="173"/>
      <c r="BP297" s="173"/>
      <c r="BQ297" s="173"/>
      <c r="BR297" s="173"/>
      <c r="BS297" s="173"/>
      <c r="BT297" s="173"/>
      <c r="BU297" s="173"/>
      <c r="BV297" s="173"/>
      <c r="BW297" s="173"/>
      <c r="BX297" s="173"/>
      <c r="BY297" s="173"/>
      <c r="BZ297" s="173"/>
      <c r="CA297" s="173"/>
      <c r="CB297" s="173"/>
      <c r="CC297" s="173"/>
      <c r="CD297" s="173"/>
      <c r="CE297" s="173"/>
      <c r="CF297" s="173"/>
      <c r="CG297" s="173"/>
      <c r="CH297" s="173"/>
      <c r="CI297" s="173"/>
      <c r="CJ297" s="173"/>
      <c r="CK297" s="173"/>
      <c r="CL297" s="173"/>
      <c r="CM297" s="173"/>
      <c r="CN297" s="173"/>
      <c r="CO297" s="173"/>
      <c r="CP297" s="173"/>
      <c r="CQ297" s="173"/>
      <c r="CR297" s="173"/>
      <c r="CS297" s="173"/>
      <c r="CT297" s="173"/>
      <c r="CU297" s="173"/>
      <c r="CV297" s="173"/>
      <c r="CW297" s="173"/>
      <c r="CX297" s="173"/>
      <c r="CY297" s="173"/>
      <c r="CZ297" s="173"/>
      <c r="DA297" s="173"/>
      <c r="DB297" s="173"/>
      <c r="DC297" s="173"/>
      <c r="DD297" s="173"/>
      <c r="DE297" s="173"/>
      <c r="DF297" s="173"/>
      <c r="DG297" s="173"/>
      <c r="DH297" s="173"/>
      <c r="DI297" s="173"/>
      <c r="DJ297" s="173"/>
      <c r="DK297" s="173"/>
      <c r="DL297" s="173"/>
      <c r="DM297" s="173"/>
      <c r="DN297" s="173"/>
      <c r="DO297" s="173"/>
      <c r="DP297" s="173"/>
      <c r="DQ297" s="173"/>
      <c r="DR297" s="173"/>
      <c r="DS297" s="173"/>
      <c r="DT297" s="173"/>
      <c r="DU297" s="173"/>
      <c r="DV297" s="173"/>
      <c r="DW297" s="173"/>
      <c r="DX297" s="173"/>
      <c r="DY297" s="173"/>
      <c r="DZ297" s="173"/>
      <c r="EA297" s="173"/>
      <c r="EB297" s="173"/>
      <c r="EC297" s="173"/>
      <c r="ED297" s="173"/>
      <c r="EE297" s="173"/>
      <c r="EF297" s="173"/>
      <c r="EG297" s="173"/>
      <c r="EH297" s="173"/>
      <c r="EI297" s="173"/>
      <c r="EJ297" s="173"/>
      <c r="EK297" s="173"/>
      <c r="EL297" s="173"/>
      <c r="EM297" s="173"/>
      <c r="EN297" s="173"/>
      <c r="EO297" s="173"/>
      <c r="EP297" s="173"/>
      <c r="EQ297" s="173"/>
      <c r="ER297" s="173"/>
      <c r="ES297" s="173"/>
      <c r="ET297" s="173"/>
      <c r="EU297" s="173"/>
      <c r="EV297" s="173"/>
      <c r="EW297" s="173"/>
      <c r="EX297" s="173"/>
      <c r="EY297" s="173"/>
      <c r="EZ297" s="173"/>
      <c r="FA297" s="173"/>
      <c r="FB297" s="173"/>
      <c r="FC297" s="173"/>
      <c r="FD297" s="173"/>
      <c r="FE297" s="173"/>
      <c r="FF297" s="173"/>
      <c r="FG297" s="173"/>
      <c r="FH297" s="173"/>
      <c r="FI297" s="173"/>
      <c r="FJ297" s="173"/>
      <c r="FK297" s="173"/>
      <c r="FL297" s="173"/>
      <c r="FM297" s="173"/>
      <c r="FN297" s="173"/>
      <c r="FO297" s="173"/>
      <c r="FP297" s="173"/>
      <c r="FQ297" s="173"/>
      <c r="FR297" s="173"/>
      <c r="FS297" s="173"/>
      <c r="FT297" s="173"/>
      <c r="FU297" s="173"/>
      <c r="FV297" s="173"/>
      <c r="FW297" s="173"/>
      <c r="FX297" s="173"/>
      <c r="FY297" s="173"/>
      <c r="FZ297" s="173"/>
      <c r="GA297" s="173"/>
      <c r="GB297" s="173"/>
      <c r="GC297" s="173"/>
      <c r="GD297" s="173"/>
      <c r="GE297" s="173"/>
      <c r="GF297" s="173"/>
      <c r="GG297" s="173"/>
      <c r="GH297" s="173"/>
      <c r="GI297" s="173"/>
      <c r="GJ297" s="173"/>
      <c r="GK297" s="173"/>
      <c r="GL297" s="173"/>
      <c r="GM297" s="173"/>
      <c r="GN297" s="173"/>
      <c r="GO297" s="173"/>
      <c r="GP297" s="173"/>
      <c r="GQ297" s="173"/>
      <c r="GR297" s="173"/>
      <c r="GS297" s="173"/>
      <c r="GT297" s="173"/>
      <c r="GU297" s="173"/>
      <c r="GV297" s="173"/>
      <c r="GW297" s="173"/>
      <c r="GX297" s="173"/>
      <c r="GY297" s="173"/>
      <c r="GZ297" s="173"/>
      <c r="HA297" s="173"/>
      <c r="HB297" s="173"/>
      <c r="HC297" s="173"/>
      <c r="HD297" s="173"/>
      <c r="HE297" s="173"/>
      <c r="HF297" s="173"/>
      <c r="HG297" s="173"/>
      <c r="HH297" s="173"/>
      <c r="HI297" s="173"/>
      <c r="HJ297" s="173"/>
      <c r="HK297" s="173"/>
      <c r="HL297" s="173"/>
      <c r="HM297" s="173"/>
      <c r="HN297" s="173"/>
      <c r="HO297" s="173"/>
      <c r="HP297" s="173"/>
      <c r="HQ297" s="173"/>
      <c r="HR297" s="173"/>
      <c r="HS297" s="173"/>
      <c r="HT297" s="173"/>
      <c r="HU297" s="173"/>
      <c r="HV297" s="173"/>
      <c r="HW297" s="173"/>
      <c r="HX297" s="173"/>
      <c r="HY297" s="173"/>
      <c r="HZ297" s="173"/>
      <c r="IA297" s="173"/>
      <c r="IB297" s="173"/>
      <c r="IC297" s="173"/>
      <c r="ID297" s="173"/>
      <c r="IE297" s="173"/>
      <c r="IF297" s="173"/>
      <c r="IG297" s="173"/>
      <c r="IH297" s="173"/>
      <c r="II297" s="173"/>
      <c r="IJ297" s="173"/>
      <c r="IK297" s="173"/>
      <c r="IL297" s="173"/>
      <c r="IM297" s="173"/>
      <c r="IN297" s="173"/>
      <c r="IO297" s="173"/>
      <c r="IP297" s="173"/>
      <c r="IQ297" s="173"/>
      <c r="IR297" s="173"/>
      <c r="IS297" s="173"/>
      <c r="IT297" s="173"/>
      <c r="IU297" s="173"/>
      <c r="IV297" s="173"/>
      <c r="IW297" s="173"/>
      <c r="IX297" s="173"/>
      <c r="IY297" s="173"/>
      <c r="IZ297" s="173"/>
      <c r="JA297" s="173"/>
      <c r="JB297" s="173"/>
      <c r="JC297" s="173"/>
      <c r="JD297" s="173"/>
      <c r="JE297" s="173"/>
      <c r="JF297" s="173"/>
      <c r="JG297" s="173"/>
      <c r="JH297" s="173"/>
      <c r="JI297" s="173"/>
      <c r="JJ297" s="173"/>
      <c r="JK297" s="173"/>
      <c r="JL297" s="173"/>
      <c r="JM297" s="173"/>
      <c r="JN297" s="173"/>
      <c r="JO297" s="173"/>
      <c r="JP297" s="173"/>
      <c r="JQ297" s="173"/>
      <c r="JR297" s="173"/>
      <c r="JS297" s="173"/>
      <c r="JT297" s="173"/>
      <c r="JU297" s="173"/>
      <c r="JV297" s="173"/>
      <c r="JW297" s="173"/>
      <c r="JX297" s="173"/>
      <c r="JY297" s="173"/>
      <c r="JZ297" s="173"/>
      <c r="KA297" s="173"/>
      <c r="KB297" s="173"/>
      <c r="KC297" s="173"/>
      <c r="KD297" s="173"/>
      <c r="KE297" s="173"/>
      <c r="KF297" s="173"/>
      <c r="KG297" s="173"/>
      <c r="KH297" s="173"/>
      <c r="KI297" s="173"/>
      <c r="KJ297" s="173"/>
      <c r="KK297" s="173"/>
      <c r="KL297" s="173"/>
      <c r="KM297" s="173"/>
      <c r="KN297" s="173"/>
      <c r="KO297" s="173"/>
      <c r="KP297" s="173"/>
      <c r="KQ297" s="173"/>
      <c r="KR297" s="173"/>
      <c r="KS297" s="173"/>
      <c r="KT297" s="173"/>
      <c r="KU297" s="173"/>
      <c r="KV297" s="173"/>
      <c r="KW297" s="173"/>
      <c r="KX297" s="173"/>
      <c r="KY297" s="173"/>
      <c r="KZ297" s="173"/>
      <c r="LA297" s="173"/>
      <c r="LB297" s="173"/>
      <c r="LC297" s="173"/>
      <c r="LD297" s="173"/>
      <c r="LE297" s="173"/>
      <c r="LF297" s="173"/>
      <c r="LG297" s="173"/>
      <c r="LH297" s="173"/>
      <c r="LI297" s="173"/>
      <c r="LJ297" s="173"/>
      <c r="LK297" s="173"/>
      <c r="LL297" s="173"/>
      <c r="LM297" s="173"/>
      <c r="LN297" s="173"/>
      <c r="LO297" s="173"/>
      <c r="LP297" s="173"/>
      <c r="LQ297" s="173"/>
      <c r="LR297" s="173"/>
      <c r="LS297" s="173"/>
      <c r="LT297" s="173"/>
      <c r="LU297" s="173"/>
      <c r="LV297" s="173"/>
      <c r="LW297" s="173"/>
      <c r="LX297" s="173"/>
      <c r="LY297" s="173"/>
      <c r="LZ297" s="173"/>
      <c r="MA297" s="173"/>
      <c r="MB297" s="173"/>
      <c r="MC297" s="173"/>
      <c r="MD297" s="173"/>
      <c r="ME297" s="173"/>
      <c r="MF297" s="173"/>
      <c r="MG297" s="173"/>
      <c r="MH297" s="173"/>
      <c r="MI297" s="173"/>
      <c r="MJ297" s="173"/>
      <c r="MK297" s="173"/>
      <c r="ML297" s="173"/>
      <c r="MM297" s="173"/>
      <c r="MN297" s="173"/>
      <c r="MO297" s="173"/>
      <c r="MP297" s="173"/>
      <c r="MQ297" s="173"/>
      <c r="MR297" s="173"/>
      <c r="MS297" s="173"/>
      <c r="MT297" s="173"/>
      <c r="MU297" s="173"/>
      <c r="MV297" s="173"/>
      <c r="MW297" s="173"/>
      <c r="MX297" s="173"/>
      <c r="MY297" s="173"/>
      <c r="MZ297" s="173"/>
      <c r="NA297" s="173"/>
      <c r="NB297" s="173"/>
      <c r="NC297" s="173"/>
      <c r="ND297" s="173"/>
      <c r="NE297" s="173"/>
      <c r="NF297" s="173"/>
      <c r="NG297" s="173"/>
      <c r="NH297" s="173"/>
      <c r="NI297" s="173"/>
      <c r="NJ297" s="173"/>
      <c r="NK297" s="173"/>
      <c r="NL297" s="173"/>
      <c r="NM297" s="173"/>
      <c r="NN297" s="173"/>
      <c r="NO297" s="173"/>
      <c r="NP297" s="173"/>
      <c r="NQ297" s="173"/>
      <c r="NR297" s="173"/>
      <c r="NS297" s="173"/>
      <c r="NT297" s="173"/>
      <c r="NU297" s="173"/>
      <c r="NV297" s="173"/>
      <c r="NW297" s="173"/>
      <c r="NX297" s="173"/>
      <c r="NY297" s="173"/>
      <c r="NZ297" s="173"/>
      <c r="OA297" s="173"/>
      <c r="OB297" s="173"/>
      <c r="OC297" s="173"/>
      <c r="OD297" s="173"/>
      <c r="OE297" s="173"/>
      <c r="OF297" s="173"/>
      <c r="OG297" s="173"/>
      <c r="OH297" s="173"/>
      <c r="OI297" s="173"/>
      <c r="OJ297" s="173"/>
      <c r="OK297" s="173"/>
      <c r="OL297" s="173"/>
      <c r="OM297" s="173"/>
      <c r="ON297" s="173"/>
      <c r="OO297" s="173"/>
      <c r="OP297" s="173"/>
      <c r="OQ297" s="173"/>
      <c r="OR297" s="173"/>
      <c r="OS297" s="173"/>
      <c r="OT297" s="173"/>
      <c r="OU297" s="173"/>
      <c r="OV297" s="173"/>
      <c r="OW297" s="173"/>
      <c r="OX297" s="173"/>
      <c r="OY297" s="173"/>
      <c r="OZ297" s="173"/>
      <c r="PA297" s="173"/>
      <c r="PB297" s="173"/>
      <c r="PC297" s="173"/>
      <c r="PD297" s="173"/>
      <c r="PE297" s="173"/>
      <c r="PF297" s="173"/>
      <c r="PG297" s="173"/>
      <c r="PH297" s="173"/>
      <c r="PI297" s="173"/>
      <c r="PJ297" s="173"/>
      <c r="PK297" s="173"/>
      <c r="PL297" s="173"/>
      <c r="PM297" s="173"/>
      <c r="PN297" s="173"/>
      <c r="PO297" s="173"/>
      <c r="PP297" s="173"/>
      <c r="PQ297" s="173"/>
      <c r="PR297" s="173"/>
      <c r="PS297" s="173"/>
      <c r="PT297" s="173"/>
      <c r="PU297" s="173"/>
      <c r="PV297" s="173"/>
      <c r="PW297" s="173"/>
      <c r="PX297" s="173"/>
      <c r="PY297" s="173"/>
      <c r="PZ297" s="173"/>
      <c r="QA297" s="173"/>
      <c r="QB297" s="173"/>
      <c r="QC297" s="173"/>
      <c r="QD297" s="173"/>
      <c r="QE297" s="173"/>
      <c r="QF297" s="173"/>
      <c r="QG297" s="173"/>
      <c r="QH297" s="173"/>
      <c r="QI297" s="173"/>
      <c r="QJ297" s="173"/>
      <c r="QK297" s="173"/>
      <c r="QL297" s="173"/>
      <c r="QM297" s="173"/>
      <c r="QN297" s="173"/>
      <c r="QO297" s="173"/>
      <c r="QP297" s="173"/>
      <c r="QQ297" s="173"/>
      <c r="QR297" s="173"/>
      <c r="QS297" s="173"/>
      <c r="QT297" s="173"/>
      <c r="QU297" s="173"/>
      <c r="QV297" s="173"/>
      <c r="QW297" s="173"/>
      <c r="QX297" s="173"/>
      <c r="QY297" s="173"/>
      <c r="QZ297" s="173"/>
      <c r="RA297" s="173"/>
      <c r="RB297" s="173"/>
      <c r="RC297" s="173"/>
      <c r="RD297" s="173"/>
      <c r="RE297" s="173"/>
      <c r="RF297" s="173"/>
      <c r="RG297" s="173"/>
      <c r="RH297" s="173"/>
      <c r="RI297" s="173"/>
      <c r="RJ297" s="173"/>
      <c r="RK297" s="173"/>
      <c r="RL297" s="173"/>
      <c r="RM297" s="173"/>
      <c r="RN297" s="173"/>
      <c r="RO297" s="173"/>
      <c r="RP297" s="173"/>
      <c r="RQ297" s="173"/>
      <c r="RR297" s="173"/>
      <c r="RS297" s="173"/>
      <c r="RT297" s="173"/>
      <c r="RU297" s="173"/>
      <c r="RV297" s="173"/>
      <c r="RW297" s="173"/>
      <c r="RX297" s="173"/>
      <c r="RY297" s="173"/>
      <c r="RZ297" s="173"/>
      <c r="SA297" s="173"/>
      <c r="SB297" s="173"/>
      <c r="SC297" s="173"/>
      <c r="SD297" s="173"/>
      <c r="SE297" s="173"/>
      <c r="SF297" s="173"/>
      <c r="SG297" s="173"/>
      <c r="SH297" s="173"/>
      <c r="SI297" s="173"/>
      <c r="SJ297" s="173"/>
      <c r="SK297" s="173"/>
      <c r="SL297" s="173"/>
      <c r="SM297" s="173"/>
      <c r="SN297" s="173"/>
      <c r="SO297" s="173"/>
      <c r="SP297" s="173"/>
      <c r="SQ297" s="173"/>
      <c r="SR297" s="173"/>
      <c r="SS297" s="173"/>
      <c r="ST297" s="173"/>
      <c r="SU297" s="173"/>
      <c r="SV297" s="173"/>
      <c r="SW297" s="173"/>
      <c r="SX297" s="173"/>
      <c r="SY297" s="173"/>
      <c r="SZ297" s="173"/>
      <c r="TA297" s="173"/>
      <c r="TB297" s="173"/>
      <c r="TC297" s="173"/>
      <c r="TD297" s="173"/>
      <c r="TE297" s="173"/>
      <c r="TF297" s="173"/>
      <c r="TG297" s="173"/>
      <c r="TH297" s="173"/>
      <c r="TI297" s="173"/>
      <c r="TJ297" s="173"/>
      <c r="TK297" s="173"/>
      <c r="TL297" s="173"/>
      <c r="TM297" s="173"/>
      <c r="TN297" s="173"/>
      <c r="TO297" s="173"/>
      <c r="TP297" s="173"/>
      <c r="TQ297" s="173"/>
      <c r="TR297" s="173"/>
      <c r="TS297" s="173"/>
      <c r="TT297" s="173"/>
      <c r="TU297" s="173"/>
      <c r="TV297" s="173"/>
      <c r="TW297" s="173"/>
      <c r="TX297" s="173"/>
      <c r="TY297" s="173"/>
      <c r="TZ297" s="173"/>
      <c r="UA297" s="173"/>
      <c r="UB297" s="173"/>
      <c r="UC297" s="173"/>
      <c r="UD297" s="173"/>
      <c r="UE297" s="173"/>
      <c r="UF297" s="173"/>
      <c r="UG297" s="173"/>
      <c r="UH297" s="173"/>
      <c r="UI297" s="173"/>
      <c r="UJ297" s="173"/>
      <c r="UK297" s="173"/>
      <c r="UL297" s="173"/>
      <c r="UM297" s="173"/>
      <c r="UN297" s="173"/>
      <c r="UO297" s="173"/>
      <c r="UP297" s="173"/>
      <c r="UQ297" s="173"/>
      <c r="UR297" s="173"/>
      <c r="US297" s="173"/>
      <c r="UT297" s="173"/>
      <c r="UU297" s="173"/>
      <c r="UV297" s="173"/>
      <c r="UW297" s="173"/>
      <c r="UX297" s="173"/>
      <c r="UY297" s="173"/>
      <c r="UZ297" s="173"/>
      <c r="VA297" s="173"/>
      <c r="VB297" s="173"/>
      <c r="VC297" s="173"/>
      <c r="VD297" s="173"/>
      <c r="VE297" s="173"/>
      <c r="VF297" s="173"/>
      <c r="VG297" s="173"/>
      <c r="VH297" s="173"/>
      <c r="VI297" s="173"/>
      <c r="VJ297" s="173"/>
      <c r="VK297" s="173"/>
      <c r="VL297" s="173"/>
      <c r="VM297" s="173"/>
      <c r="VN297" s="173"/>
      <c r="VO297" s="173"/>
      <c r="VP297" s="173"/>
      <c r="VQ297" s="173"/>
      <c r="VR297" s="173"/>
      <c r="VS297" s="173"/>
      <c r="VT297" s="173"/>
      <c r="VU297" s="173"/>
      <c r="VV297" s="173"/>
      <c r="VW297" s="173"/>
      <c r="VX297" s="173"/>
      <c r="VY297" s="173"/>
      <c r="VZ297" s="173"/>
      <c r="WA297" s="173"/>
      <c r="WB297" s="173"/>
      <c r="WC297" s="173"/>
      <c r="WD297" s="173"/>
      <c r="WE297" s="173"/>
      <c r="WF297" s="173"/>
      <c r="WG297" s="173"/>
      <c r="WH297" s="173"/>
      <c r="WI297" s="173"/>
      <c r="WJ297" s="173"/>
      <c r="WK297" s="173"/>
      <c r="WL297" s="173"/>
      <c r="WM297" s="173"/>
      <c r="WN297" s="173"/>
      <c r="WO297" s="173"/>
      <c r="WP297" s="173"/>
    </row>
    <row r="298" spans="1:614">
      <c r="A298" s="173"/>
      <c r="B298" s="133" t="str">
        <f>Comb_scrd[[#Headers],[IBM Security Network Protection XGS 7100]]</f>
        <v>IBM Security Network Protection XGS 7100</v>
      </c>
      <c r="C298" s="170" t="str">
        <f>HLOOKUP(Table59[Product],Comb_scrd[#All],220,FALSE)</f>
        <v>PASS</v>
      </c>
      <c r="D298" s="170" t="str">
        <f>HLOOKUP(Table59[Product],Comb_scrd[#All],221,FALSE)</f>
        <v>PASS</v>
      </c>
      <c r="E298" s="170" t="str">
        <f>HLOOKUP(Table59[Product],Comb_scrd[#All],223,FALSE)</f>
        <v>PASS</v>
      </c>
      <c r="F298" s="170" t="str">
        <f>HLOOKUP(Table59[Product],Comb_scrd[#All],224,FALSE)</f>
        <v>PASS</v>
      </c>
      <c r="G298" s="170" t="str">
        <f>HLOOKUP(Table59[Product],Comb_scrd[#All],225,FALSE)</f>
        <v>PASS</v>
      </c>
      <c r="H298" s="170" t="str">
        <f>HLOOKUP(Table59[Product],Comb_scrd[#All],226,FALSE)</f>
        <v>PASS</v>
      </c>
      <c r="I298" s="170" t="str">
        <f>HLOOKUP(Table59[Product],Comb_scrd[#All],227,FALSE)</f>
        <v>PASS</v>
      </c>
      <c r="J298" s="170" t="str">
        <f>HLOOKUP(Table59[Product],Comb_scrd[#All],228,FALSE)</f>
        <v>PASS</v>
      </c>
      <c r="K298" s="170" t="str">
        <f>HLOOKUP(Table59[Product],Comb_scrd[#All],229,FALSE)</f>
        <v>PASS</v>
      </c>
      <c r="L298" s="170" t="str">
        <f>HLOOKUP(Table59[Product],Comb_scrd[#All],230,FALSE)</f>
        <v>YES</v>
      </c>
      <c r="M298" s="170" t="str">
        <f>HLOOKUP(Table59[Product],Comb_scrd[#All],231,FALSE)</f>
        <v>PASS</v>
      </c>
      <c r="N298" s="170" t="str">
        <f>IF(SUMPRODUCT(--ISNUMBER(FIND("FAIL",Table59[[#This Row],[Blocking Under Extended Attack]:[Persistence of Data]])))=0,"PASS","FAIL")</f>
        <v>PASS</v>
      </c>
      <c r="P298" s="173"/>
      <c r="Q298" s="173"/>
      <c r="R298" s="173"/>
      <c r="S298" s="173"/>
      <c r="T298" s="173"/>
      <c r="U298" s="173"/>
      <c r="V298" s="173"/>
      <c r="W298" s="173"/>
      <c r="X298" s="173"/>
      <c r="Y298" s="173"/>
      <c r="Z298" s="173"/>
      <c r="AA298" s="173"/>
      <c r="AB298" s="173"/>
      <c r="AC298" s="173"/>
      <c r="AD298" s="173"/>
      <c r="AE298" s="173"/>
      <c r="AF298" s="173"/>
      <c r="AG298" s="173"/>
      <c r="AH298" s="173"/>
      <c r="AI298" s="173"/>
      <c r="AJ298" s="173"/>
      <c r="AK298" s="173"/>
      <c r="AL298" s="173"/>
      <c r="AM298" s="173"/>
      <c r="AN298" s="173"/>
      <c r="AO298" s="173"/>
      <c r="AP298" s="173"/>
      <c r="AQ298" s="173"/>
      <c r="AR298" s="173"/>
      <c r="AS298" s="173"/>
      <c r="AT298" s="173"/>
      <c r="AU298" s="173"/>
      <c r="AV298" s="173"/>
      <c r="AW298" s="173"/>
      <c r="AX298" s="173"/>
      <c r="AY298" s="173"/>
      <c r="AZ298" s="173"/>
      <c r="BA298" s="173"/>
      <c r="BB298" s="173"/>
      <c r="BC298" s="173"/>
      <c r="BD298" s="173"/>
      <c r="BE298" s="173"/>
      <c r="BF298" s="173"/>
      <c r="BG298" s="173"/>
      <c r="BH298" s="173"/>
      <c r="BI298" s="173"/>
      <c r="BJ298" s="173"/>
      <c r="BK298" s="173"/>
      <c r="BL298" s="173"/>
      <c r="BM298" s="173"/>
      <c r="BN298" s="173"/>
      <c r="BO298" s="173"/>
      <c r="BP298" s="173"/>
      <c r="BQ298" s="173"/>
      <c r="BR298" s="173"/>
      <c r="BS298" s="173"/>
      <c r="BT298" s="173"/>
      <c r="BU298" s="173"/>
      <c r="BV298" s="173"/>
      <c r="BW298" s="173"/>
      <c r="BX298" s="173"/>
      <c r="BY298" s="173"/>
      <c r="BZ298" s="173"/>
      <c r="CA298" s="173"/>
      <c r="CB298" s="173"/>
      <c r="CC298" s="173"/>
      <c r="CD298" s="173"/>
      <c r="CE298" s="173"/>
      <c r="CF298" s="173"/>
      <c r="CG298" s="173"/>
      <c r="CH298" s="173"/>
      <c r="CI298" s="173"/>
      <c r="CJ298" s="173"/>
      <c r="CK298" s="173"/>
      <c r="CL298" s="173"/>
      <c r="CM298" s="173"/>
      <c r="CN298" s="173"/>
      <c r="CO298" s="173"/>
      <c r="CP298" s="173"/>
      <c r="CQ298" s="173"/>
      <c r="CR298" s="173"/>
      <c r="CS298" s="173"/>
      <c r="CT298" s="173"/>
      <c r="CU298" s="173"/>
      <c r="CV298" s="173"/>
      <c r="CW298" s="173"/>
      <c r="CX298" s="173"/>
      <c r="CY298" s="173"/>
      <c r="CZ298" s="173"/>
      <c r="DA298" s="173"/>
      <c r="DB298" s="173"/>
      <c r="DC298" s="173"/>
      <c r="DD298" s="173"/>
      <c r="DE298" s="173"/>
      <c r="DF298" s="173"/>
      <c r="DG298" s="173"/>
      <c r="DH298" s="173"/>
      <c r="DI298" s="173"/>
      <c r="DJ298" s="173"/>
      <c r="DK298" s="173"/>
      <c r="DL298" s="173"/>
      <c r="DM298" s="173"/>
      <c r="DN298" s="173"/>
      <c r="DO298" s="173"/>
      <c r="DP298" s="173"/>
      <c r="DQ298" s="173"/>
      <c r="DR298" s="173"/>
      <c r="DS298" s="173"/>
      <c r="DT298" s="173"/>
      <c r="DU298" s="173"/>
      <c r="DV298" s="173"/>
      <c r="DW298" s="173"/>
      <c r="DX298" s="173"/>
      <c r="DY298" s="173"/>
      <c r="DZ298" s="173"/>
      <c r="EA298" s="173"/>
      <c r="EB298" s="173"/>
      <c r="EC298" s="173"/>
      <c r="ED298" s="173"/>
      <c r="EE298" s="173"/>
      <c r="EF298" s="173"/>
      <c r="EG298" s="173"/>
      <c r="EH298" s="173"/>
      <c r="EI298" s="173"/>
      <c r="EJ298" s="173"/>
      <c r="EK298" s="173"/>
      <c r="EL298" s="173"/>
      <c r="EM298" s="173"/>
      <c r="EN298" s="173"/>
      <c r="EO298" s="173"/>
      <c r="EP298" s="173"/>
      <c r="EQ298" s="173"/>
      <c r="ER298" s="173"/>
      <c r="ES298" s="173"/>
      <c r="ET298" s="173"/>
      <c r="EU298" s="173"/>
      <c r="EV298" s="173"/>
      <c r="EW298" s="173"/>
      <c r="EX298" s="173"/>
      <c r="EY298" s="173"/>
      <c r="EZ298" s="173"/>
      <c r="FA298" s="173"/>
      <c r="FB298" s="173"/>
      <c r="FC298" s="173"/>
      <c r="FD298" s="173"/>
      <c r="FE298" s="173"/>
      <c r="FF298" s="173"/>
      <c r="FG298" s="173"/>
      <c r="FH298" s="173"/>
      <c r="FI298" s="173"/>
      <c r="FJ298" s="173"/>
      <c r="FK298" s="173"/>
      <c r="FL298" s="173"/>
      <c r="FM298" s="173"/>
      <c r="FN298" s="173"/>
      <c r="FO298" s="173"/>
      <c r="FP298" s="173"/>
      <c r="FQ298" s="173"/>
      <c r="FR298" s="173"/>
      <c r="FS298" s="173"/>
      <c r="FT298" s="173"/>
      <c r="FU298" s="173"/>
      <c r="FV298" s="173"/>
      <c r="FW298" s="173"/>
      <c r="FX298" s="173"/>
      <c r="FY298" s="173"/>
      <c r="FZ298" s="173"/>
      <c r="GA298" s="173"/>
      <c r="GB298" s="173"/>
      <c r="GC298" s="173"/>
      <c r="GD298" s="173"/>
      <c r="GE298" s="173"/>
      <c r="GF298" s="173"/>
      <c r="GG298" s="173"/>
      <c r="GH298" s="173"/>
      <c r="GI298" s="173"/>
      <c r="GJ298" s="173"/>
      <c r="GK298" s="173"/>
      <c r="GL298" s="173"/>
      <c r="GM298" s="173"/>
      <c r="GN298" s="173"/>
      <c r="GO298" s="173"/>
      <c r="GP298" s="173"/>
      <c r="GQ298" s="173"/>
      <c r="GR298" s="173"/>
      <c r="GS298" s="173"/>
      <c r="GT298" s="173"/>
      <c r="GU298" s="173"/>
      <c r="GV298" s="173"/>
      <c r="GW298" s="173"/>
      <c r="GX298" s="173"/>
      <c r="GY298" s="173"/>
      <c r="GZ298" s="173"/>
      <c r="HA298" s="173"/>
      <c r="HB298" s="173"/>
      <c r="HC298" s="173"/>
      <c r="HD298" s="173"/>
      <c r="HE298" s="173"/>
      <c r="HF298" s="173"/>
      <c r="HG298" s="173"/>
      <c r="HH298" s="173"/>
      <c r="HI298" s="173"/>
      <c r="HJ298" s="173"/>
      <c r="HK298" s="173"/>
      <c r="HL298" s="173"/>
      <c r="HM298" s="173"/>
      <c r="HN298" s="173"/>
      <c r="HO298" s="173"/>
      <c r="HP298" s="173"/>
      <c r="HQ298" s="173"/>
      <c r="HR298" s="173"/>
      <c r="HS298" s="173"/>
      <c r="HT298" s="173"/>
      <c r="HU298" s="173"/>
      <c r="HV298" s="173"/>
      <c r="HW298" s="173"/>
      <c r="HX298" s="173"/>
      <c r="HY298" s="173"/>
      <c r="HZ298" s="173"/>
      <c r="IA298" s="173"/>
      <c r="IB298" s="173"/>
      <c r="IC298" s="173"/>
      <c r="ID298" s="173"/>
      <c r="IE298" s="173"/>
      <c r="IF298" s="173"/>
      <c r="IG298" s="173"/>
      <c r="IH298" s="173"/>
      <c r="II298" s="173"/>
      <c r="IJ298" s="173"/>
      <c r="IK298" s="173"/>
      <c r="IL298" s="173"/>
      <c r="IM298" s="173"/>
      <c r="IN298" s="173"/>
      <c r="IO298" s="173"/>
      <c r="IP298" s="173"/>
      <c r="IQ298" s="173"/>
      <c r="IR298" s="173"/>
      <c r="IS298" s="173"/>
      <c r="IT298" s="173"/>
      <c r="IU298" s="173"/>
      <c r="IV298" s="173"/>
      <c r="IW298" s="173"/>
      <c r="IX298" s="173"/>
      <c r="IY298" s="173"/>
      <c r="IZ298" s="173"/>
      <c r="JA298" s="173"/>
      <c r="JB298" s="173"/>
      <c r="JC298" s="173"/>
      <c r="JD298" s="173"/>
      <c r="JE298" s="173"/>
      <c r="JF298" s="173"/>
      <c r="JG298" s="173"/>
      <c r="JH298" s="173"/>
      <c r="JI298" s="173"/>
      <c r="JJ298" s="173"/>
      <c r="JK298" s="173"/>
      <c r="JL298" s="173"/>
      <c r="JM298" s="173"/>
      <c r="JN298" s="173"/>
      <c r="JO298" s="173"/>
      <c r="JP298" s="173"/>
      <c r="JQ298" s="173"/>
      <c r="JR298" s="173"/>
      <c r="JS298" s="173"/>
      <c r="JT298" s="173"/>
      <c r="JU298" s="173"/>
      <c r="JV298" s="173"/>
      <c r="JW298" s="173"/>
      <c r="JX298" s="173"/>
      <c r="JY298" s="173"/>
      <c r="JZ298" s="173"/>
      <c r="KA298" s="173"/>
      <c r="KB298" s="173"/>
      <c r="KC298" s="173"/>
      <c r="KD298" s="173"/>
      <c r="KE298" s="173"/>
      <c r="KF298" s="173"/>
      <c r="KG298" s="173"/>
      <c r="KH298" s="173"/>
      <c r="KI298" s="173"/>
      <c r="KJ298" s="173"/>
      <c r="KK298" s="173"/>
      <c r="KL298" s="173"/>
      <c r="KM298" s="173"/>
      <c r="KN298" s="173"/>
      <c r="KO298" s="173"/>
      <c r="KP298" s="173"/>
      <c r="KQ298" s="173"/>
      <c r="KR298" s="173"/>
      <c r="KS298" s="173"/>
      <c r="KT298" s="173"/>
      <c r="KU298" s="173"/>
      <c r="KV298" s="173"/>
      <c r="KW298" s="173"/>
      <c r="KX298" s="173"/>
      <c r="KY298" s="173"/>
      <c r="KZ298" s="173"/>
      <c r="LA298" s="173"/>
      <c r="LB298" s="173"/>
      <c r="LC298" s="173"/>
      <c r="LD298" s="173"/>
      <c r="LE298" s="173"/>
      <c r="LF298" s="173"/>
      <c r="LG298" s="173"/>
      <c r="LH298" s="173"/>
      <c r="LI298" s="173"/>
      <c r="LJ298" s="173"/>
      <c r="LK298" s="173"/>
      <c r="LL298" s="173"/>
      <c r="LM298" s="173"/>
      <c r="LN298" s="173"/>
      <c r="LO298" s="173"/>
      <c r="LP298" s="173"/>
      <c r="LQ298" s="173"/>
      <c r="LR298" s="173"/>
      <c r="LS298" s="173"/>
      <c r="LT298" s="173"/>
      <c r="LU298" s="173"/>
      <c r="LV298" s="173"/>
      <c r="LW298" s="173"/>
      <c r="LX298" s="173"/>
      <c r="LY298" s="173"/>
      <c r="LZ298" s="173"/>
      <c r="MA298" s="173"/>
      <c r="MB298" s="173"/>
      <c r="MC298" s="173"/>
      <c r="MD298" s="173"/>
      <c r="ME298" s="173"/>
      <c r="MF298" s="173"/>
      <c r="MG298" s="173"/>
      <c r="MH298" s="173"/>
      <c r="MI298" s="173"/>
      <c r="MJ298" s="173"/>
      <c r="MK298" s="173"/>
      <c r="ML298" s="173"/>
      <c r="MM298" s="173"/>
      <c r="MN298" s="173"/>
      <c r="MO298" s="173"/>
      <c r="MP298" s="173"/>
      <c r="MQ298" s="173"/>
      <c r="MR298" s="173"/>
      <c r="MS298" s="173"/>
      <c r="MT298" s="173"/>
      <c r="MU298" s="173"/>
      <c r="MV298" s="173"/>
      <c r="MW298" s="173"/>
      <c r="MX298" s="173"/>
      <c r="MY298" s="173"/>
      <c r="MZ298" s="173"/>
      <c r="NA298" s="173"/>
      <c r="NB298" s="173"/>
      <c r="NC298" s="173"/>
      <c r="ND298" s="173"/>
      <c r="NE298" s="173"/>
      <c r="NF298" s="173"/>
      <c r="NG298" s="173"/>
      <c r="NH298" s="173"/>
      <c r="NI298" s="173"/>
      <c r="NJ298" s="173"/>
      <c r="NK298" s="173"/>
      <c r="NL298" s="173"/>
      <c r="NM298" s="173"/>
      <c r="NN298" s="173"/>
      <c r="NO298" s="173"/>
      <c r="NP298" s="173"/>
      <c r="NQ298" s="173"/>
      <c r="NR298" s="173"/>
      <c r="NS298" s="173"/>
      <c r="NT298" s="173"/>
      <c r="NU298" s="173"/>
      <c r="NV298" s="173"/>
      <c r="NW298" s="173"/>
      <c r="NX298" s="173"/>
      <c r="NY298" s="173"/>
      <c r="NZ298" s="173"/>
      <c r="OA298" s="173"/>
      <c r="OB298" s="173"/>
      <c r="OC298" s="173"/>
      <c r="OD298" s="173"/>
      <c r="OE298" s="173"/>
      <c r="OF298" s="173"/>
      <c r="OG298" s="173"/>
      <c r="OH298" s="173"/>
      <c r="OI298" s="173"/>
      <c r="OJ298" s="173"/>
      <c r="OK298" s="173"/>
      <c r="OL298" s="173"/>
      <c r="OM298" s="173"/>
      <c r="ON298" s="173"/>
      <c r="OO298" s="173"/>
      <c r="OP298" s="173"/>
      <c r="OQ298" s="173"/>
      <c r="OR298" s="173"/>
      <c r="OS298" s="173"/>
      <c r="OT298" s="173"/>
      <c r="OU298" s="173"/>
      <c r="OV298" s="173"/>
      <c r="OW298" s="173"/>
      <c r="OX298" s="173"/>
      <c r="OY298" s="173"/>
      <c r="OZ298" s="173"/>
      <c r="PA298" s="173"/>
      <c r="PB298" s="173"/>
      <c r="PC298" s="173"/>
      <c r="PD298" s="173"/>
      <c r="PE298" s="173"/>
      <c r="PF298" s="173"/>
      <c r="PG298" s="173"/>
      <c r="PH298" s="173"/>
      <c r="PI298" s="173"/>
      <c r="PJ298" s="173"/>
      <c r="PK298" s="173"/>
      <c r="PL298" s="173"/>
      <c r="PM298" s="173"/>
      <c r="PN298" s="173"/>
      <c r="PO298" s="173"/>
      <c r="PP298" s="173"/>
      <c r="PQ298" s="173"/>
      <c r="PR298" s="173"/>
      <c r="PS298" s="173"/>
      <c r="PT298" s="173"/>
      <c r="PU298" s="173"/>
      <c r="PV298" s="173"/>
      <c r="PW298" s="173"/>
      <c r="PX298" s="173"/>
      <c r="PY298" s="173"/>
      <c r="PZ298" s="173"/>
      <c r="QA298" s="173"/>
      <c r="QB298" s="173"/>
      <c r="QC298" s="173"/>
      <c r="QD298" s="173"/>
      <c r="QE298" s="173"/>
      <c r="QF298" s="173"/>
      <c r="QG298" s="173"/>
      <c r="QH298" s="173"/>
      <c r="QI298" s="173"/>
      <c r="QJ298" s="173"/>
      <c r="QK298" s="173"/>
      <c r="QL298" s="173"/>
      <c r="QM298" s="173"/>
      <c r="QN298" s="173"/>
      <c r="QO298" s="173"/>
      <c r="QP298" s="173"/>
      <c r="QQ298" s="173"/>
      <c r="QR298" s="173"/>
      <c r="QS298" s="173"/>
      <c r="QT298" s="173"/>
      <c r="QU298" s="173"/>
      <c r="QV298" s="173"/>
      <c r="QW298" s="173"/>
      <c r="QX298" s="173"/>
      <c r="QY298" s="173"/>
      <c r="QZ298" s="173"/>
      <c r="RA298" s="173"/>
      <c r="RB298" s="173"/>
      <c r="RC298" s="173"/>
      <c r="RD298" s="173"/>
      <c r="RE298" s="173"/>
      <c r="RF298" s="173"/>
      <c r="RG298" s="173"/>
      <c r="RH298" s="173"/>
      <c r="RI298" s="173"/>
      <c r="RJ298" s="173"/>
      <c r="RK298" s="173"/>
      <c r="RL298" s="173"/>
      <c r="RM298" s="173"/>
      <c r="RN298" s="173"/>
      <c r="RO298" s="173"/>
      <c r="RP298" s="173"/>
      <c r="RQ298" s="173"/>
      <c r="RR298" s="173"/>
      <c r="RS298" s="173"/>
      <c r="RT298" s="173"/>
      <c r="RU298" s="173"/>
      <c r="RV298" s="173"/>
      <c r="RW298" s="173"/>
      <c r="RX298" s="173"/>
      <c r="RY298" s="173"/>
      <c r="RZ298" s="173"/>
      <c r="SA298" s="173"/>
      <c r="SB298" s="173"/>
      <c r="SC298" s="173"/>
      <c r="SD298" s="173"/>
      <c r="SE298" s="173"/>
      <c r="SF298" s="173"/>
      <c r="SG298" s="173"/>
      <c r="SH298" s="173"/>
      <c r="SI298" s="173"/>
      <c r="SJ298" s="173"/>
      <c r="SK298" s="173"/>
      <c r="SL298" s="173"/>
      <c r="SM298" s="173"/>
      <c r="SN298" s="173"/>
      <c r="SO298" s="173"/>
      <c r="SP298" s="173"/>
      <c r="SQ298" s="173"/>
      <c r="SR298" s="173"/>
      <c r="SS298" s="173"/>
      <c r="ST298" s="173"/>
      <c r="SU298" s="173"/>
      <c r="SV298" s="173"/>
      <c r="SW298" s="173"/>
      <c r="SX298" s="173"/>
      <c r="SY298" s="173"/>
      <c r="SZ298" s="173"/>
      <c r="TA298" s="173"/>
      <c r="TB298" s="173"/>
      <c r="TC298" s="173"/>
      <c r="TD298" s="173"/>
      <c r="TE298" s="173"/>
      <c r="TF298" s="173"/>
      <c r="TG298" s="173"/>
      <c r="TH298" s="173"/>
      <c r="TI298" s="173"/>
      <c r="TJ298" s="173"/>
      <c r="TK298" s="173"/>
      <c r="TL298" s="173"/>
      <c r="TM298" s="173"/>
      <c r="TN298" s="173"/>
      <c r="TO298" s="173"/>
      <c r="TP298" s="173"/>
      <c r="TQ298" s="173"/>
      <c r="TR298" s="173"/>
      <c r="TS298" s="173"/>
      <c r="TT298" s="173"/>
      <c r="TU298" s="173"/>
      <c r="TV298" s="173"/>
      <c r="TW298" s="173"/>
      <c r="TX298" s="173"/>
      <c r="TY298" s="173"/>
      <c r="TZ298" s="173"/>
      <c r="UA298" s="173"/>
      <c r="UB298" s="173"/>
      <c r="UC298" s="173"/>
      <c r="UD298" s="173"/>
      <c r="UE298" s="173"/>
      <c r="UF298" s="173"/>
      <c r="UG298" s="173"/>
      <c r="UH298" s="173"/>
      <c r="UI298" s="173"/>
      <c r="UJ298" s="173"/>
      <c r="UK298" s="173"/>
      <c r="UL298" s="173"/>
      <c r="UM298" s="173"/>
      <c r="UN298" s="173"/>
      <c r="UO298" s="173"/>
      <c r="UP298" s="173"/>
      <c r="UQ298" s="173"/>
      <c r="UR298" s="173"/>
      <c r="US298" s="173"/>
      <c r="UT298" s="173"/>
      <c r="UU298" s="173"/>
      <c r="UV298" s="173"/>
      <c r="UW298" s="173"/>
      <c r="UX298" s="173"/>
      <c r="UY298" s="173"/>
      <c r="UZ298" s="173"/>
      <c r="VA298" s="173"/>
      <c r="VB298" s="173"/>
      <c r="VC298" s="173"/>
      <c r="VD298" s="173"/>
      <c r="VE298" s="173"/>
      <c r="VF298" s="173"/>
      <c r="VG298" s="173"/>
      <c r="VH298" s="173"/>
      <c r="VI298" s="173"/>
      <c r="VJ298" s="173"/>
      <c r="VK298" s="173"/>
      <c r="VL298" s="173"/>
      <c r="VM298" s="173"/>
      <c r="VN298" s="173"/>
      <c r="VO298" s="173"/>
      <c r="VP298" s="173"/>
      <c r="VQ298" s="173"/>
      <c r="VR298" s="173"/>
      <c r="VS298" s="173"/>
      <c r="VT298" s="173"/>
      <c r="VU298" s="173"/>
      <c r="VV298" s="173"/>
      <c r="VW298" s="173"/>
      <c r="VX298" s="173"/>
      <c r="VY298" s="173"/>
      <c r="VZ298" s="173"/>
      <c r="WA298" s="173"/>
      <c r="WB298" s="173"/>
      <c r="WC298" s="173"/>
      <c r="WD298" s="173"/>
      <c r="WE298" s="173"/>
      <c r="WF298" s="173"/>
      <c r="WG298" s="173"/>
      <c r="WH298" s="173"/>
      <c r="WI298" s="173"/>
      <c r="WJ298" s="173"/>
      <c r="WK298" s="173"/>
      <c r="WL298" s="173"/>
      <c r="WM298" s="173"/>
      <c r="WN298" s="173"/>
      <c r="WO298" s="173"/>
      <c r="WP298" s="173"/>
    </row>
    <row r="299" spans="1:614">
      <c r="A299" s="173"/>
      <c r="B299" s="133" t="str">
        <f>Comb_scrd[[#Headers],[Palo Alto Networks PA-5020]]</f>
        <v>Palo Alto Networks PA-5020</v>
      </c>
      <c r="C299" s="170" t="str">
        <f>HLOOKUP(Table59[Product],Comb_scrd[#All],220,FALSE)</f>
        <v>PASS</v>
      </c>
      <c r="D299" s="170" t="str">
        <f>HLOOKUP(Table59[Product],Comb_scrd[#All],221,FALSE)</f>
        <v>PASS</v>
      </c>
      <c r="E299" s="170" t="str">
        <f>HLOOKUP(Table59[Product],Comb_scrd[#All],223,FALSE)</f>
        <v>PASS</v>
      </c>
      <c r="F299" s="170" t="str">
        <f>HLOOKUP(Table59[Product],Comb_scrd[#All],224,FALSE)</f>
        <v>PASS</v>
      </c>
      <c r="G299" s="170" t="str">
        <f>HLOOKUP(Table59[Product],Comb_scrd[#All],225,FALSE)</f>
        <v>PASS</v>
      </c>
      <c r="H299" s="170" t="str">
        <f>HLOOKUP(Table59[Product],Comb_scrd[#All],226,FALSE)</f>
        <v>PASS</v>
      </c>
      <c r="I299" s="170" t="str">
        <f>HLOOKUP(Table59[Product],Comb_scrd[#All],227,FALSE)</f>
        <v>PASS</v>
      </c>
      <c r="J299" s="170" t="str">
        <f>HLOOKUP(Table59[Product],Comb_scrd[#All],228,FALSE)</f>
        <v>PASS</v>
      </c>
      <c r="K299" s="170" t="str">
        <f>HLOOKUP(Table59[Product],Comb_scrd[#All],229,FALSE)</f>
        <v>PASS</v>
      </c>
      <c r="L299" s="170" t="str">
        <f>HLOOKUP(Table59[Product],Comb_scrd[#All],230,FALSE)</f>
        <v>YES</v>
      </c>
      <c r="M299" s="170" t="str">
        <f>HLOOKUP(Table59[Product],Comb_scrd[#All],231,FALSE)</f>
        <v>PASS</v>
      </c>
      <c r="N299" s="170" t="str">
        <f>IF(SUMPRODUCT(--ISNUMBER(FIND("FAIL",Table59[[#This Row],[Blocking Under Extended Attack]:[Persistence of Data]])))=0,"PASS","FAIL")</f>
        <v>PASS</v>
      </c>
      <c r="P299" s="173"/>
      <c r="Q299" s="173"/>
      <c r="R299" s="173"/>
      <c r="S299" s="173"/>
      <c r="T299" s="173"/>
      <c r="U299" s="173"/>
      <c r="V299" s="173"/>
      <c r="W299" s="173"/>
      <c r="X299" s="173"/>
      <c r="Y299" s="173"/>
      <c r="Z299" s="173"/>
      <c r="AA299" s="173"/>
      <c r="AB299" s="173"/>
      <c r="AC299" s="173"/>
      <c r="AD299" s="173"/>
      <c r="AE299" s="173"/>
      <c r="AF299" s="173"/>
      <c r="AG299" s="173"/>
      <c r="AH299" s="173"/>
      <c r="AI299" s="173"/>
      <c r="AJ299" s="173"/>
      <c r="AK299" s="173"/>
      <c r="AL299" s="173"/>
      <c r="AM299" s="173"/>
      <c r="AN299" s="173"/>
      <c r="AO299" s="173"/>
      <c r="AP299" s="173"/>
      <c r="AQ299" s="173"/>
      <c r="AR299" s="173"/>
      <c r="AS299" s="173"/>
      <c r="AT299" s="173"/>
      <c r="AU299" s="173"/>
      <c r="AV299" s="173"/>
      <c r="AW299" s="173"/>
      <c r="AX299" s="173"/>
      <c r="AY299" s="173"/>
      <c r="AZ299" s="173"/>
      <c r="BA299" s="173"/>
      <c r="BB299" s="173"/>
      <c r="BC299" s="173"/>
      <c r="BD299" s="173"/>
      <c r="BE299" s="173"/>
      <c r="BF299" s="173"/>
      <c r="BG299" s="173"/>
      <c r="BH299" s="173"/>
      <c r="BI299" s="173"/>
      <c r="BJ299" s="173"/>
      <c r="BK299" s="173"/>
      <c r="BL299" s="173"/>
      <c r="BM299" s="173"/>
      <c r="BN299" s="173"/>
      <c r="BO299" s="173"/>
      <c r="BP299" s="173"/>
      <c r="BQ299" s="173"/>
      <c r="BR299" s="173"/>
      <c r="BS299" s="173"/>
      <c r="BT299" s="173"/>
      <c r="BU299" s="173"/>
      <c r="BV299" s="173"/>
      <c r="BW299" s="173"/>
      <c r="BX299" s="173"/>
      <c r="BY299" s="173"/>
      <c r="BZ299" s="173"/>
      <c r="CA299" s="173"/>
      <c r="CB299" s="173"/>
      <c r="CC299" s="173"/>
      <c r="CD299" s="173"/>
      <c r="CE299" s="173"/>
      <c r="CF299" s="173"/>
      <c r="CG299" s="173"/>
      <c r="CH299" s="173"/>
      <c r="CI299" s="173"/>
      <c r="CJ299" s="173"/>
      <c r="CK299" s="173"/>
      <c r="CL299" s="173"/>
      <c r="CM299" s="173"/>
      <c r="CN299" s="173"/>
      <c r="CO299" s="173"/>
      <c r="CP299" s="173"/>
      <c r="CQ299" s="173"/>
      <c r="CR299" s="173"/>
      <c r="CS299" s="173"/>
      <c r="CT299" s="173"/>
      <c r="CU299" s="173"/>
      <c r="CV299" s="173"/>
      <c r="CW299" s="173"/>
      <c r="CX299" s="173"/>
      <c r="CY299" s="173"/>
      <c r="CZ299" s="173"/>
      <c r="DA299" s="173"/>
      <c r="DB299" s="173"/>
      <c r="DC299" s="173"/>
      <c r="DD299" s="173"/>
      <c r="DE299" s="173"/>
      <c r="DF299" s="173"/>
      <c r="DG299" s="173"/>
      <c r="DH299" s="173"/>
      <c r="DI299" s="173"/>
      <c r="DJ299" s="173"/>
      <c r="DK299" s="173"/>
      <c r="DL299" s="173"/>
      <c r="DM299" s="173"/>
      <c r="DN299" s="173"/>
      <c r="DO299" s="173"/>
      <c r="DP299" s="173"/>
      <c r="DQ299" s="173"/>
      <c r="DR299" s="173"/>
      <c r="DS299" s="173"/>
      <c r="DT299" s="173"/>
      <c r="DU299" s="173"/>
      <c r="DV299" s="173"/>
      <c r="DW299" s="173"/>
      <c r="DX299" s="173"/>
      <c r="DY299" s="173"/>
      <c r="DZ299" s="173"/>
      <c r="EA299" s="173"/>
      <c r="EB299" s="173"/>
      <c r="EC299" s="173"/>
      <c r="ED299" s="173"/>
      <c r="EE299" s="173"/>
      <c r="EF299" s="173"/>
      <c r="EG299" s="173"/>
      <c r="EH299" s="173"/>
      <c r="EI299" s="173"/>
      <c r="EJ299" s="173"/>
      <c r="EK299" s="173"/>
      <c r="EL299" s="173"/>
      <c r="EM299" s="173"/>
      <c r="EN299" s="173"/>
      <c r="EO299" s="173"/>
      <c r="EP299" s="173"/>
      <c r="EQ299" s="173"/>
      <c r="ER299" s="173"/>
      <c r="ES299" s="173"/>
      <c r="ET299" s="173"/>
      <c r="EU299" s="173"/>
      <c r="EV299" s="173"/>
      <c r="EW299" s="173"/>
      <c r="EX299" s="173"/>
      <c r="EY299" s="173"/>
      <c r="EZ299" s="173"/>
      <c r="FA299" s="173"/>
      <c r="FB299" s="173"/>
      <c r="FC299" s="173"/>
      <c r="FD299" s="173"/>
      <c r="FE299" s="173"/>
      <c r="FF299" s="173"/>
      <c r="FG299" s="173"/>
      <c r="FH299" s="173"/>
      <c r="FI299" s="173"/>
      <c r="FJ299" s="173"/>
      <c r="FK299" s="173"/>
      <c r="FL299" s="173"/>
      <c r="FM299" s="173"/>
      <c r="FN299" s="173"/>
      <c r="FO299" s="173"/>
      <c r="FP299" s="173"/>
      <c r="FQ299" s="173"/>
      <c r="FR299" s="173"/>
      <c r="FS299" s="173"/>
      <c r="FT299" s="173"/>
      <c r="FU299" s="173"/>
      <c r="FV299" s="173"/>
      <c r="FW299" s="173"/>
      <c r="FX299" s="173"/>
      <c r="FY299" s="173"/>
      <c r="FZ299" s="173"/>
      <c r="GA299" s="173"/>
      <c r="GB299" s="173"/>
      <c r="GC299" s="173"/>
      <c r="GD299" s="173"/>
      <c r="GE299" s="173"/>
      <c r="GF299" s="173"/>
      <c r="GG299" s="173"/>
      <c r="GH299" s="173"/>
      <c r="GI299" s="173"/>
      <c r="GJ299" s="173"/>
      <c r="GK299" s="173"/>
      <c r="GL299" s="173"/>
      <c r="GM299" s="173"/>
      <c r="GN299" s="173"/>
      <c r="GO299" s="173"/>
      <c r="GP299" s="173"/>
      <c r="GQ299" s="173"/>
      <c r="GR299" s="173"/>
      <c r="GS299" s="173"/>
      <c r="GT299" s="173"/>
      <c r="GU299" s="173"/>
      <c r="GV299" s="173"/>
      <c r="GW299" s="173"/>
      <c r="GX299" s="173"/>
      <c r="GY299" s="173"/>
      <c r="GZ299" s="173"/>
      <c r="HA299" s="173"/>
      <c r="HB299" s="173"/>
      <c r="HC299" s="173"/>
      <c r="HD299" s="173"/>
      <c r="HE299" s="173"/>
      <c r="HF299" s="173"/>
      <c r="HG299" s="173"/>
      <c r="HH299" s="173"/>
      <c r="HI299" s="173"/>
      <c r="HJ299" s="173"/>
      <c r="HK299" s="173"/>
      <c r="HL299" s="173"/>
      <c r="HM299" s="173"/>
      <c r="HN299" s="173"/>
      <c r="HO299" s="173"/>
      <c r="HP299" s="173"/>
      <c r="HQ299" s="173"/>
      <c r="HR299" s="173"/>
      <c r="HS299" s="173"/>
      <c r="HT299" s="173"/>
      <c r="HU299" s="173"/>
      <c r="HV299" s="173"/>
      <c r="HW299" s="173"/>
      <c r="HX299" s="173"/>
      <c r="HY299" s="173"/>
      <c r="HZ299" s="173"/>
      <c r="IA299" s="173"/>
      <c r="IB299" s="173"/>
      <c r="IC299" s="173"/>
      <c r="ID299" s="173"/>
      <c r="IE299" s="173"/>
      <c r="IF299" s="173"/>
      <c r="IG299" s="173"/>
      <c r="IH299" s="173"/>
      <c r="II299" s="173"/>
      <c r="IJ299" s="173"/>
      <c r="IK299" s="173"/>
      <c r="IL299" s="173"/>
      <c r="IM299" s="173"/>
      <c r="IN299" s="173"/>
      <c r="IO299" s="173"/>
      <c r="IP299" s="173"/>
      <c r="IQ299" s="173"/>
      <c r="IR299" s="173"/>
      <c r="IS299" s="173"/>
      <c r="IT299" s="173"/>
      <c r="IU299" s="173"/>
      <c r="IV299" s="173"/>
      <c r="IW299" s="173"/>
      <c r="IX299" s="173"/>
      <c r="IY299" s="173"/>
      <c r="IZ299" s="173"/>
      <c r="JA299" s="173"/>
      <c r="JB299" s="173"/>
      <c r="JC299" s="173"/>
      <c r="JD299" s="173"/>
      <c r="JE299" s="173"/>
      <c r="JF299" s="173"/>
      <c r="JG299" s="173"/>
      <c r="JH299" s="173"/>
      <c r="JI299" s="173"/>
      <c r="JJ299" s="173"/>
      <c r="JK299" s="173"/>
      <c r="JL299" s="173"/>
      <c r="JM299" s="173"/>
      <c r="JN299" s="173"/>
      <c r="JO299" s="173"/>
      <c r="JP299" s="173"/>
      <c r="JQ299" s="173"/>
      <c r="JR299" s="173"/>
      <c r="JS299" s="173"/>
      <c r="JT299" s="173"/>
      <c r="JU299" s="173"/>
      <c r="JV299" s="173"/>
      <c r="JW299" s="173"/>
      <c r="JX299" s="173"/>
      <c r="JY299" s="173"/>
      <c r="JZ299" s="173"/>
      <c r="KA299" s="173"/>
      <c r="KB299" s="173"/>
      <c r="KC299" s="173"/>
      <c r="KD299" s="173"/>
      <c r="KE299" s="173"/>
      <c r="KF299" s="173"/>
      <c r="KG299" s="173"/>
      <c r="KH299" s="173"/>
      <c r="KI299" s="173"/>
      <c r="KJ299" s="173"/>
      <c r="KK299" s="173"/>
      <c r="KL299" s="173"/>
      <c r="KM299" s="173"/>
      <c r="KN299" s="173"/>
      <c r="KO299" s="173"/>
      <c r="KP299" s="173"/>
      <c r="KQ299" s="173"/>
      <c r="KR299" s="173"/>
      <c r="KS299" s="173"/>
      <c r="KT299" s="173"/>
      <c r="KU299" s="173"/>
      <c r="KV299" s="173"/>
      <c r="KW299" s="173"/>
      <c r="KX299" s="173"/>
      <c r="KY299" s="173"/>
      <c r="KZ299" s="173"/>
      <c r="LA299" s="173"/>
      <c r="LB299" s="173"/>
      <c r="LC299" s="173"/>
      <c r="LD299" s="173"/>
      <c r="LE299" s="173"/>
      <c r="LF299" s="173"/>
      <c r="LG299" s="173"/>
      <c r="LH299" s="173"/>
      <c r="LI299" s="173"/>
      <c r="LJ299" s="173"/>
      <c r="LK299" s="173"/>
      <c r="LL299" s="173"/>
      <c r="LM299" s="173"/>
      <c r="LN299" s="173"/>
      <c r="LO299" s="173"/>
      <c r="LP299" s="173"/>
      <c r="LQ299" s="173"/>
      <c r="LR299" s="173"/>
      <c r="LS299" s="173"/>
      <c r="LT299" s="173"/>
      <c r="LU299" s="173"/>
      <c r="LV299" s="173"/>
      <c r="LW299" s="173"/>
      <c r="LX299" s="173"/>
      <c r="LY299" s="173"/>
      <c r="LZ299" s="173"/>
      <c r="MA299" s="173"/>
      <c r="MB299" s="173"/>
      <c r="MC299" s="173"/>
      <c r="MD299" s="173"/>
      <c r="ME299" s="173"/>
      <c r="MF299" s="173"/>
      <c r="MG299" s="173"/>
      <c r="MH299" s="173"/>
      <c r="MI299" s="173"/>
      <c r="MJ299" s="173"/>
      <c r="MK299" s="173"/>
      <c r="ML299" s="173"/>
      <c r="MM299" s="173"/>
      <c r="MN299" s="173"/>
      <c r="MO299" s="173"/>
      <c r="MP299" s="173"/>
      <c r="MQ299" s="173"/>
      <c r="MR299" s="173"/>
      <c r="MS299" s="173"/>
      <c r="MT299" s="173"/>
      <c r="MU299" s="173"/>
      <c r="MV299" s="173"/>
      <c r="MW299" s="173"/>
      <c r="MX299" s="173"/>
      <c r="MY299" s="173"/>
      <c r="MZ299" s="173"/>
      <c r="NA299" s="173"/>
      <c r="NB299" s="173"/>
      <c r="NC299" s="173"/>
      <c r="ND299" s="173"/>
      <c r="NE299" s="173"/>
      <c r="NF299" s="173"/>
      <c r="NG299" s="173"/>
      <c r="NH299" s="173"/>
      <c r="NI299" s="173"/>
      <c r="NJ299" s="173"/>
      <c r="NK299" s="173"/>
      <c r="NL299" s="173"/>
      <c r="NM299" s="173"/>
      <c r="NN299" s="173"/>
      <c r="NO299" s="173"/>
      <c r="NP299" s="173"/>
      <c r="NQ299" s="173"/>
      <c r="NR299" s="173"/>
      <c r="NS299" s="173"/>
      <c r="NT299" s="173"/>
      <c r="NU299" s="173"/>
      <c r="NV299" s="173"/>
      <c r="NW299" s="173"/>
      <c r="NX299" s="173"/>
      <c r="NY299" s="173"/>
      <c r="NZ299" s="173"/>
      <c r="OA299" s="173"/>
      <c r="OB299" s="173"/>
      <c r="OC299" s="173"/>
      <c r="OD299" s="173"/>
      <c r="OE299" s="173"/>
      <c r="OF299" s="173"/>
      <c r="OG299" s="173"/>
      <c r="OH299" s="173"/>
      <c r="OI299" s="173"/>
      <c r="OJ299" s="173"/>
      <c r="OK299" s="173"/>
      <c r="OL299" s="173"/>
      <c r="OM299" s="173"/>
      <c r="ON299" s="173"/>
      <c r="OO299" s="173"/>
      <c r="OP299" s="173"/>
      <c r="OQ299" s="173"/>
      <c r="OR299" s="173"/>
      <c r="OS299" s="173"/>
      <c r="OT299" s="173"/>
      <c r="OU299" s="173"/>
      <c r="OV299" s="173"/>
      <c r="OW299" s="173"/>
      <c r="OX299" s="173"/>
      <c r="OY299" s="173"/>
      <c r="OZ299" s="173"/>
      <c r="PA299" s="173"/>
      <c r="PB299" s="173"/>
      <c r="PC299" s="173"/>
      <c r="PD299" s="173"/>
      <c r="PE299" s="173"/>
      <c r="PF299" s="173"/>
      <c r="PG299" s="173"/>
      <c r="PH299" s="173"/>
      <c r="PI299" s="173"/>
      <c r="PJ299" s="173"/>
      <c r="PK299" s="173"/>
      <c r="PL299" s="173"/>
      <c r="PM299" s="173"/>
      <c r="PN299" s="173"/>
      <c r="PO299" s="173"/>
      <c r="PP299" s="173"/>
      <c r="PQ299" s="173"/>
      <c r="PR299" s="173"/>
      <c r="PS299" s="173"/>
      <c r="PT299" s="173"/>
      <c r="PU299" s="173"/>
      <c r="PV299" s="173"/>
      <c r="PW299" s="173"/>
      <c r="PX299" s="173"/>
      <c r="PY299" s="173"/>
      <c r="PZ299" s="173"/>
      <c r="QA299" s="173"/>
      <c r="QB299" s="173"/>
      <c r="QC299" s="173"/>
      <c r="QD299" s="173"/>
      <c r="QE299" s="173"/>
      <c r="QF299" s="173"/>
      <c r="QG299" s="173"/>
      <c r="QH299" s="173"/>
      <c r="QI299" s="173"/>
      <c r="QJ299" s="173"/>
      <c r="QK299" s="173"/>
      <c r="QL299" s="173"/>
      <c r="QM299" s="173"/>
      <c r="QN299" s="173"/>
      <c r="QO299" s="173"/>
      <c r="QP299" s="173"/>
      <c r="QQ299" s="173"/>
      <c r="QR299" s="173"/>
      <c r="QS299" s="173"/>
      <c r="QT299" s="173"/>
      <c r="QU299" s="173"/>
      <c r="QV299" s="173"/>
      <c r="QW299" s="173"/>
      <c r="QX299" s="173"/>
      <c r="QY299" s="173"/>
      <c r="QZ299" s="173"/>
      <c r="RA299" s="173"/>
      <c r="RB299" s="173"/>
      <c r="RC299" s="173"/>
      <c r="RD299" s="173"/>
      <c r="RE299" s="173"/>
      <c r="RF299" s="173"/>
      <c r="RG299" s="173"/>
      <c r="RH299" s="173"/>
      <c r="RI299" s="173"/>
      <c r="RJ299" s="173"/>
      <c r="RK299" s="173"/>
      <c r="RL299" s="173"/>
      <c r="RM299" s="173"/>
      <c r="RN299" s="173"/>
      <c r="RO299" s="173"/>
      <c r="RP299" s="173"/>
      <c r="RQ299" s="173"/>
      <c r="RR299" s="173"/>
      <c r="RS299" s="173"/>
      <c r="RT299" s="173"/>
      <c r="RU299" s="173"/>
      <c r="RV299" s="173"/>
      <c r="RW299" s="173"/>
      <c r="RX299" s="173"/>
      <c r="RY299" s="173"/>
      <c r="RZ299" s="173"/>
      <c r="SA299" s="173"/>
      <c r="SB299" s="173"/>
      <c r="SC299" s="173"/>
      <c r="SD299" s="173"/>
      <c r="SE299" s="173"/>
      <c r="SF299" s="173"/>
      <c r="SG299" s="173"/>
      <c r="SH299" s="173"/>
      <c r="SI299" s="173"/>
      <c r="SJ299" s="173"/>
      <c r="SK299" s="173"/>
      <c r="SL299" s="173"/>
      <c r="SM299" s="173"/>
      <c r="SN299" s="173"/>
      <c r="SO299" s="173"/>
      <c r="SP299" s="173"/>
      <c r="SQ299" s="173"/>
      <c r="SR299" s="173"/>
      <c r="SS299" s="173"/>
      <c r="ST299" s="173"/>
      <c r="SU299" s="173"/>
      <c r="SV299" s="173"/>
      <c r="SW299" s="173"/>
      <c r="SX299" s="173"/>
      <c r="SY299" s="173"/>
      <c r="SZ299" s="173"/>
      <c r="TA299" s="173"/>
      <c r="TB299" s="173"/>
      <c r="TC299" s="173"/>
      <c r="TD299" s="173"/>
      <c r="TE299" s="173"/>
      <c r="TF299" s="173"/>
      <c r="TG299" s="173"/>
      <c r="TH299" s="173"/>
      <c r="TI299" s="173"/>
      <c r="TJ299" s="173"/>
      <c r="TK299" s="173"/>
      <c r="TL299" s="173"/>
      <c r="TM299" s="173"/>
      <c r="TN299" s="173"/>
      <c r="TO299" s="173"/>
      <c r="TP299" s="173"/>
      <c r="TQ299" s="173"/>
      <c r="TR299" s="173"/>
      <c r="TS299" s="173"/>
      <c r="TT299" s="173"/>
      <c r="TU299" s="173"/>
      <c r="TV299" s="173"/>
      <c r="TW299" s="173"/>
      <c r="TX299" s="173"/>
      <c r="TY299" s="173"/>
      <c r="TZ299" s="173"/>
      <c r="UA299" s="173"/>
      <c r="UB299" s="173"/>
      <c r="UC299" s="173"/>
      <c r="UD299" s="173"/>
      <c r="UE299" s="173"/>
      <c r="UF299" s="173"/>
      <c r="UG299" s="173"/>
      <c r="UH299" s="173"/>
      <c r="UI299" s="173"/>
      <c r="UJ299" s="173"/>
      <c r="UK299" s="173"/>
      <c r="UL299" s="173"/>
      <c r="UM299" s="173"/>
      <c r="UN299" s="173"/>
      <c r="UO299" s="173"/>
      <c r="UP299" s="173"/>
      <c r="UQ299" s="173"/>
      <c r="UR299" s="173"/>
      <c r="US299" s="173"/>
      <c r="UT299" s="173"/>
      <c r="UU299" s="173"/>
      <c r="UV299" s="173"/>
      <c r="UW299" s="173"/>
      <c r="UX299" s="173"/>
      <c r="UY299" s="173"/>
      <c r="UZ299" s="173"/>
      <c r="VA299" s="173"/>
      <c r="VB299" s="173"/>
      <c r="VC299" s="173"/>
      <c r="VD299" s="173"/>
      <c r="VE299" s="173"/>
      <c r="VF299" s="173"/>
      <c r="VG299" s="173"/>
      <c r="VH299" s="173"/>
      <c r="VI299" s="173"/>
      <c r="VJ299" s="173"/>
      <c r="VK299" s="173"/>
      <c r="VL299" s="173"/>
      <c r="VM299" s="173"/>
      <c r="VN299" s="173"/>
      <c r="VO299" s="173"/>
      <c r="VP299" s="173"/>
      <c r="VQ299" s="173"/>
      <c r="VR299" s="173"/>
      <c r="VS299" s="173"/>
      <c r="VT299" s="173"/>
      <c r="VU299" s="173"/>
      <c r="VV299" s="173"/>
      <c r="VW299" s="173"/>
      <c r="VX299" s="173"/>
      <c r="VY299" s="173"/>
      <c r="VZ299" s="173"/>
      <c r="WA299" s="173"/>
      <c r="WB299" s="173"/>
      <c r="WC299" s="173"/>
      <c r="WD299" s="173"/>
      <c r="WE299" s="173"/>
      <c r="WF299" s="173"/>
      <c r="WG299" s="173"/>
      <c r="WH299" s="173"/>
      <c r="WI299" s="173"/>
      <c r="WJ299" s="173"/>
      <c r="WK299" s="173"/>
      <c r="WL299" s="173"/>
      <c r="WM299" s="173"/>
      <c r="WN299" s="173"/>
      <c r="WO299" s="173"/>
      <c r="WP299" s="173"/>
    </row>
    <row r="300" spans="1:614" s="173" customFormat="1"/>
    <row r="303" spans="1:614">
      <c r="F303" s="136"/>
      <c r="G303" s="136"/>
      <c r="H303" s="136"/>
      <c r="I303" s="141"/>
      <c r="J303" s="141"/>
      <c r="K303" s="136"/>
      <c r="L303" s="141"/>
      <c r="M303" s="136"/>
      <c r="N303" s="136"/>
      <c r="O303" s="136"/>
    </row>
    <row r="305" spans="1:614">
      <c r="A305" s="131"/>
      <c r="B305" s="165" t="s">
        <v>74</v>
      </c>
      <c r="C305" s="166" t="s">
        <v>413</v>
      </c>
      <c r="D305" s="166" t="s">
        <v>414</v>
      </c>
      <c r="E305" s="167" t="s">
        <v>481</v>
      </c>
      <c r="F305" s="150" t="s">
        <v>2</v>
      </c>
    </row>
    <row r="306" spans="1:614">
      <c r="B306" s="133" t="str">
        <f>Comb_scrd[[#Headers],[Cisco FirePOWER 8350]]</f>
        <v>Cisco FirePOWER 8350</v>
      </c>
      <c r="C306" s="168">
        <f>VLOOKUP(IPS_security_table8[[#This Row],[Product]],TCO_Calc_table4[#All],4,FALSE)</f>
        <v>0.99518408324552166</v>
      </c>
      <c r="D306" s="169">
        <f>1-VLOOKUP(IPS_security_table8[[#This Row],[Product]],IPS_security_table5[#All],2,FALSE)</f>
        <v>1</v>
      </c>
      <c r="E306" s="170">
        <f>HLOOKUP(IPS_security_table8[[#This Row],[Product]],Inputs_table6[#All],17,FALSE)</f>
        <v>1</v>
      </c>
      <c r="F306" s="136">
        <f>SUM(IPS_security_table8[[#This Row],[Exploit Block Rate]]*IPS_security_table8[[#This Row],[Anti-Evasion Rating]]*IPS_security_table8[[#This Row],[Stability and Reliability]])</f>
        <v>0.99518408324552166</v>
      </c>
    </row>
    <row r="307" spans="1:614">
      <c r="B307" s="133" t="str">
        <f>Comb_scrd[[#Headers],[Fortinet FortiGate-1500D]]</f>
        <v>Fortinet FortiGate-1500D</v>
      </c>
      <c r="C307" s="168">
        <f>VLOOKUP(IPS_security_table8[[#This Row],[Product]],TCO_Calc_table4[#All],4,FALSE)</f>
        <v>0.99160531305383703</v>
      </c>
      <c r="D307" s="171">
        <f>1-VLOOKUP(IPS_security_table8[[#This Row],[Product]],IPS_security_table5[#All],2,FALSE)</f>
        <v>1</v>
      </c>
      <c r="E307" s="170">
        <f>HLOOKUP(IPS_security_table8[[#This Row],[Product]],Inputs_table6[#All],17,FALSE)</f>
        <v>1</v>
      </c>
      <c r="F307" s="168">
        <f>SUM(IPS_security_table8[[#This Row],[Exploit Block Rate]]*IPS_security_table8[[#This Row],[Anti-Evasion Rating]]*IPS_security_table8[[#This Row],[Stability and Reliability]])</f>
        <v>0.99160531305383703</v>
      </c>
    </row>
    <row r="308" spans="1:614">
      <c r="B308" s="133" t="str">
        <f>Comb_scrd[[#Headers],[HP TippingPoint S7500NX]]</f>
        <v>HP TippingPoint S7500NX</v>
      </c>
      <c r="C308" s="168">
        <f>VLOOKUP(IPS_security_table8[[#This Row],[Product]],TCO_Calc_table4[#All],4,FALSE)</f>
        <v>0.86619640834260148</v>
      </c>
      <c r="D308" s="171">
        <f>1-VLOOKUP(IPS_security_table8[[#This Row],[Product]],IPS_security_table5[#All],2,FALSE)</f>
        <v>1</v>
      </c>
      <c r="E308" s="377">
        <f>HLOOKUP(IPS_security_table8[[#This Row],[Product]],Inputs_table6[#All],17,FALSE)</f>
        <v>1</v>
      </c>
      <c r="F308" s="168">
        <f>SUM(IPS_security_table8[[#This Row],[Exploit Block Rate]]*IPS_security_table8[[#This Row],[Anti-Evasion Rating]]*IPS_security_table8[[#This Row],[Stability and Reliability]])</f>
        <v>0.86619640834260148</v>
      </c>
    </row>
    <row r="309" spans="1:614">
      <c r="B309" s="133" t="str">
        <f>Comb_scrd[[#Headers],[IBM Security Network Protection XGS 5100]]</f>
        <v>IBM Security Network Protection XGS 5100</v>
      </c>
      <c r="C309" s="168">
        <f>VLOOKUP(IPS_security_table8[[#This Row],[Product]],TCO_Calc_table4[#All],4,FALSE)</f>
        <v>0.96755286090621706</v>
      </c>
      <c r="D309" s="171">
        <f>1-VLOOKUP(IPS_security_table8[[#This Row],[Product]],IPS_security_table5[#All],2,FALSE)</f>
        <v>1</v>
      </c>
      <c r="E309" s="170">
        <f>HLOOKUP(IPS_security_table8[[#This Row],[Product]],Inputs_table6[#All],17,FALSE)</f>
        <v>1</v>
      </c>
      <c r="F309" s="168">
        <f>SUM(IPS_security_table8[[#This Row],[Exploit Block Rate]]*IPS_security_table8[[#This Row],[Anti-Evasion Rating]]*IPS_security_table8[[#This Row],[Stability and Reliability]])</f>
        <v>0.96755286090621706</v>
      </c>
    </row>
    <row r="310" spans="1:614">
      <c r="B310" s="133" t="str">
        <f>Comb_scrd[[#Headers],[IBM Security Network Protection XGS 7100]]</f>
        <v>IBM Security Network Protection XGS 7100</v>
      </c>
      <c r="C310" s="168">
        <f>VLOOKUP(IPS_security_table8[[#This Row],[Product]],TCO_Calc_table4[#All],4,FALSE)</f>
        <v>0.96755286090621706</v>
      </c>
      <c r="D310" s="171">
        <f>1-VLOOKUP(IPS_security_table8[[#This Row],[Product]],IPS_security_table5[#All],2,FALSE)</f>
        <v>1</v>
      </c>
      <c r="E310" s="170">
        <f>HLOOKUP(IPS_security_table8[[#This Row],[Product]],Inputs_table6[#All],17,FALSE)</f>
        <v>1</v>
      </c>
      <c r="F310" s="168">
        <f>SUM(IPS_security_table8[[#This Row],[Exploit Block Rate]]*IPS_security_table8[[#This Row],[Anti-Evasion Rating]]*IPS_security_table8[[#This Row],[Stability and Reliability]])</f>
        <v>0.96755286090621706</v>
      </c>
    </row>
    <row r="311" spans="1:614">
      <c r="B311" s="133" t="str">
        <f>Comb_scrd[[#Headers],[Palo Alto Networks PA-5020]]</f>
        <v>Palo Alto Networks PA-5020</v>
      </c>
      <c r="C311" s="168">
        <f>VLOOKUP(IPS_security_table8[[#This Row],[Product]],TCO_Calc_table4[#All],4,FALSE)</f>
        <v>0.987881981032666</v>
      </c>
      <c r="D311" s="171">
        <f>1-VLOOKUP(IPS_security_table8[[#This Row],[Product]],IPS_security_table5[#All],2,FALSE)</f>
        <v>1</v>
      </c>
      <c r="E311" s="170">
        <f>HLOOKUP(IPS_security_table8[[#This Row],[Product]],Inputs_table6[#All],17,FALSE)</f>
        <v>1</v>
      </c>
      <c r="F311" s="168">
        <f>SUM(IPS_security_table8[[#This Row],[Exploit Block Rate]]*IPS_security_table8[[#This Row],[Anti-Evasion Rating]]*IPS_security_table8[[#This Row],[Stability and Reliability]])</f>
        <v>0.987881981032666</v>
      </c>
    </row>
    <row r="312" spans="1:614">
      <c r="A312" s="173"/>
      <c r="B312" s="173"/>
      <c r="C312" s="173"/>
      <c r="D312" s="173"/>
      <c r="E312" s="173"/>
      <c r="F312" s="173"/>
      <c r="G312" s="173"/>
      <c r="H312" s="173"/>
      <c r="I312" s="173"/>
      <c r="J312" s="173"/>
      <c r="K312" s="173"/>
      <c r="L312" s="173"/>
      <c r="M312" s="173"/>
      <c r="N312" s="173"/>
      <c r="O312" s="173"/>
      <c r="P312" s="173"/>
      <c r="Q312" s="173"/>
      <c r="R312" s="173"/>
      <c r="S312" s="173"/>
      <c r="T312" s="173"/>
      <c r="U312" s="173"/>
      <c r="V312" s="173"/>
      <c r="W312" s="173"/>
      <c r="X312" s="173"/>
      <c r="Y312" s="173"/>
      <c r="Z312" s="173"/>
      <c r="AA312" s="173"/>
      <c r="AB312" s="173"/>
      <c r="AC312" s="173"/>
      <c r="AD312" s="173"/>
      <c r="AE312" s="173"/>
      <c r="AF312" s="173"/>
      <c r="AG312" s="173"/>
      <c r="AH312" s="173"/>
      <c r="AI312" s="173"/>
      <c r="AJ312" s="173"/>
      <c r="AK312" s="173"/>
      <c r="AL312" s="173"/>
      <c r="AM312" s="173"/>
      <c r="AN312" s="173"/>
      <c r="AO312" s="173"/>
      <c r="AP312" s="173"/>
      <c r="AQ312" s="173"/>
      <c r="AR312" s="173"/>
      <c r="AS312" s="173"/>
      <c r="AT312" s="173"/>
      <c r="AU312" s="173"/>
      <c r="AV312" s="173"/>
      <c r="AW312" s="173"/>
      <c r="AX312" s="173"/>
      <c r="AY312" s="173"/>
      <c r="AZ312" s="173"/>
      <c r="BA312" s="173"/>
      <c r="BB312" s="173"/>
      <c r="BC312" s="173"/>
      <c r="BD312" s="173"/>
      <c r="BE312" s="173"/>
      <c r="BF312" s="173"/>
      <c r="BG312" s="173"/>
      <c r="BH312" s="173"/>
      <c r="BI312" s="173"/>
      <c r="BJ312" s="173"/>
      <c r="BK312" s="173"/>
      <c r="BL312" s="173"/>
      <c r="BM312" s="173"/>
      <c r="BN312" s="173"/>
      <c r="BO312" s="173"/>
      <c r="BP312" s="173"/>
      <c r="BQ312" s="173"/>
      <c r="BR312" s="173"/>
      <c r="BS312" s="173"/>
      <c r="BT312" s="173"/>
      <c r="BU312" s="173"/>
      <c r="BV312" s="173"/>
      <c r="BW312" s="173"/>
      <c r="BX312" s="173"/>
      <c r="BY312" s="173"/>
      <c r="BZ312" s="173"/>
      <c r="CA312" s="173"/>
      <c r="CB312" s="173"/>
      <c r="CC312" s="173"/>
      <c r="CD312" s="173"/>
      <c r="CE312" s="173"/>
      <c r="CF312" s="173"/>
      <c r="CG312" s="173"/>
      <c r="CH312" s="173"/>
      <c r="CI312" s="173"/>
      <c r="CJ312" s="173"/>
      <c r="CK312" s="173"/>
      <c r="CL312" s="173"/>
      <c r="CM312" s="173"/>
      <c r="CN312" s="173"/>
      <c r="CO312" s="173"/>
      <c r="CP312" s="173"/>
      <c r="CQ312" s="173"/>
      <c r="CR312" s="173"/>
      <c r="CS312" s="173"/>
      <c r="CT312" s="173"/>
      <c r="CU312" s="173"/>
      <c r="CV312" s="173"/>
      <c r="CW312" s="173"/>
      <c r="CX312" s="173"/>
      <c r="CY312" s="173"/>
      <c r="CZ312" s="173"/>
      <c r="DA312" s="173"/>
      <c r="DB312" s="173"/>
      <c r="DC312" s="173"/>
      <c r="DD312" s="173"/>
      <c r="DE312" s="173"/>
      <c r="DF312" s="173"/>
      <c r="DG312" s="173"/>
      <c r="DH312" s="173"/>
      <c r="DI312" s="173"/>
      <c r="DJ312" s="173"/>
      <c r="DK312" s="173"/>
      <c r="DL312" s="173"/>
      <c r="DM312" s="173"/>
      <c r="DN312" s="173"/>
      <c r="DO312" s="173"/>
      <c r="DP312" s="173"/>
      <c r="DQ312" s="173"/>
      <c r="DR312" s="173"/>
      <c r="DS312" s="173"/>
      <c r="DT312" s="173"/>
      <c r="DU312" s="173"/>
      <c r="DV312" s="173"/>
      <c r="DW312" s="173"/>
      <c r="DX312" s="173"/>
      <c r="DY312" s="173"/>
      <c r="DZ312" s="173"/>
      <c r="EA312" s="173"/>
      <c r="EB312" s="173"/>
      <c r="EC312" s="173"/>
      <c r="ED312" s="173"/>
      <c r="EE312" s="173"/>
      <c r="EF312" s="173"/>
      <c r="EG312" s="173"/>
      <c r="EH312" s="173"/>
      <c r="EI312" s="173"/>
      <c r="EJ312" s="173"/>
      <c r="EK312" s="173"/>
      <c r="EL312" s="173"/>
      <c r="EM312" s="173"/>
      <c r="EN312" s="173"/>
      <c r="EO312" s="173"/>
      <c r="EP312" s="173"/>
      <c r="EQ312" s="173"/>
      <c r="ER312" s="173"/>
      <c r="ES312" s="173"/>
      <c r="ET312" s="173"/>
      <c r="EU312" s="173"/>
      <c r="EV312" s="173"/>
      <c r="EW312" s="173"/>
      <c r="EX312" s="173"/>
      <c r="EY312" s="173"/>
      <c r="EZ312" s="173"/>
      <c r="FA312" s="173"/>
      <c r="FB312" s="173"/>
      <c r="FC312" s="173"/>
      <c r="FD312" s="173"/>
      <c r="FE312" s="173"/>
      <c r="FF312" s="173"/>
      <c r="FG312" s="173"/>
      <c r="FH312" s="173"/>
      <c r="FI312" s="173"/>
      <c r="FJ312" s="173"/>
      <c r="FK312" s="173"/>
      <c r="FL312" s="173"/>
      <c r="FM312" s="173"/>
      <c r="FN312" s="173"/>
      <c r="FO312" s="173"/>
      <c r="FP312" s="173"/>
      <c r="FQ312" s="173"/>
      <c r="FR312" s="173"/>
      <c r="FS312" s="173"/>
      <c r="FT312" s="173"/>
      <c r="FU312" s="173"/>
      <c r="FV312" s="173"/>
      <c r="FW312" s="173"/>
      <c r="FX312" s="173"/>
      <c r="FY312" s="173"/>
      <c r="FZ312" s="173"/>
      <c r="GA312" s="173"/>
      <c r="GB312" s="173"/>
      <c r="GC312" s="173"/>
      <c r="GD312" s="173"/>
      <c r="GE312" s="173"/>
      <c r="GF312" s="173"/>
      <c r="GG312" s="173"/>
      <c r="GH312" s="173"/>
      <c r="GI312" s="173"/>
      <c r="GJ312" s="173"/>
      <c r="GK312" s="173"/>
      <c r="GL312" s="173"/>
      <c r="GM312" s="173"/>
      <c r="GN312" s="173"/>
      <c r="GO312" s="173"/>
      <c r="GP312" s="173"/>
      <c r="GQ312" s="173"/>
      <c r="GR312" s="173"/>
      <c r="GS312" s="173"/>
      <c r="GT312" s="173"/>
      <c r="GU312" s="173"/>
      <c r="GV312" s="173"/>
      <c r="GW312" s="173"/>
      <c r="GX312" s="173"/>
      <c r="GY312" s="173"/>
      <c r="GZ312" s="173"/>
      <c r="HA312" s="173"/>
      <c r="HB312" s="173"/>
      <c r="HC312" s="173"/>
      <c r="HD312" s="173"/>
      <c r="HE312" s="173"/>
      <c r="HF312" s="173"/>
      <c r="HG312" s="173"/>
      <c r="HH312" s="173"/>
      <c r="HI312" s="173"/>
      <c r="HJ312" s="173"/>
      <c r="HK312" s="173"/>
      <c r="HL312" s="173"/>
      <c r="HM312" s="173"/>
      <c r="HN312" s="173"/>
      <c r="HO312" s="173"/>
      <c r="HP312" s="173"/>
      <c r="HQ312" s="173"/>
      <c r="HR312" s="173"/>
      <c r="HS312" s="173"/>
      <c r="HT312" s="173"/>
      <c r="HU312" s="173"/>
      <c r="HV312" s="173"/>
      <c r="HW312" s="173"/>
      <c r="HX312" s="173"/>
      <c r="HY312" s="173"/>
      <c r="HZ312" s="173"/>
      <c r="IA312" s="173"/>
      <c r="IB312" s="173"/>
      <c r="IC312" s="173"/>
      <c r="ID312" s="173"/>
      <c r="IE312" s="173"/>
      <c r="IF312" s="173"/>
      <c r="IG312" s="173"/>
      <c r="IH312" s="173"/>
      <c r="II312" s="173"/>
      <c r="IJ312" s="173"/>
      <c r="IK312" s="173"/>
      <c r="IL312" s="173"/>
      <c r="IM312" s="173"/>
      <c r="IN312" s="173"/>
      <c r="IO312" s="173"/>
      <c r="IP312" s="173"/>
      <c r="IQ312" s="173"/>
      <c r="IR312" s="173"/>
      <c r="IS312" s="173"/>
      <c r="IT312" s="173"/>
      <c r="IU312" s="173"/>
      <c r="IV312" s="173"/>
      <c r="IW312" s="173"/>
      <c r="IX312" s="173"/>
      <c r="IY312" s="173"/>
      <c r="IZ312" s="173"/>
      <c r="JA312" s="173"/>
      <c r="JB312" s="173"/>
      <c r="JC312" s="173"/>
      <c r="JD312" s="173"/>
      <c r="JE312" s="173"/>
      <c r="JF312" s="173"/>
      <c r="JG312" s="173"/>
      <c r="JH312" s="173"/>
      <c r="JI312" s="173"/>
      <c r="JJ312" s="173"/>
      <c r="JK312" s="173"/>
      <c r="JL312" s="173"/>
      <c r="JM312" s="173"/>
      <c r="JN312" s="173"/>
      <c r="JO312" s="173"/>
      <c r="JP312" s="173"/>
      <c r="JQ312" s="173"/>
      <c r="JR312" s="173"/>
      <c r="JS312" s="173"/>
      <c r="JT312" s="173"/>
      <c r="JU312" s="173"/>
      <c r="JV312" s="173"/>
      <c r="JW312" s="173"/>
      <c r="JX312" s="173"/>
      <c r="JY312" s="173"/>
      <c r="JZ312" s="173"/>
      <c r="KA312" s="173"/>
      <c r="KB312" s="173"/>
      <c r="KC312" s="173"/>
      <c r="KD312" s="173"/>
      <c r="KE312" s="173"/>
      <c r="KF312" s="173"/>
      <c r="KG312" s="173"/>
      <c r="KH312" s="173"/>
      <c r="KI312" s="173"/>
      <c r="KJ312" s="173"/>
      <c r="KK312" s="173"/>
      <c r="KL312" s="173"/>
      <c r="KM312" s="173"/>
      <c r="KN312" s="173"/>
      <c r="KO312" s="173"/>
      <c r="KP312" s="173"/>
      <c r="KQ312" s="173"/>
      <c r="KR312" s="173"/>
      <c r="KS312" s="173"/>
      <c r="KT312" s="173"/>
      <c r="KU312" s="173"/>
      <c r="KV312" s="173"/>
      <c r="KW312" s="173"/>
      <c r="KX312" s="173"/>
      <c r="KY312" s="173"/>
      <c r="KZ312" s="173"/>
      <c r="LA312" s="173"/>
      <c r="LB312" s="173"/>
      <c r="LC312" s="173"/>
      <c r="LD312" s="173"/>
      <c r="LE312" s="173"/>
      <c r="LF312" s="173"/>
      <c r="LG312" s="173"/>
      <c r="LH312" s="173"/>
      <c r="LI312" s="173"/>
      <c r="LJ312" s="173"/>
      <c r="LK312" s="173"/>
      <c r="LL312" s="173"/>
      <c r="LM312" s="173"/>
      <c r="LN312" s="173"/>
      <c r="LO312" s="173"/>
      <c r="LP312" s="173"/>
      <c r="LQ312" s="173"/>
      <c r="LR312" s="173"/>
      <c r="LS312" s="173"/>
      <c r="LT312" s="173"/>
      <c r="LU312" s="173"/>
      <c r="LV312" s="173"/>
      <c r="LW312" s="173"/>
      <c r="LX312" s="173"/>
      <c r="LY312" s="173"/>
      <c r="LZ312" s="173"/>
      <c r="MA312" s="173"/>
      <c r="MB312" s="173"/>
      <c r="MC312" s="173"/>
      <c r="MD312" s="173"/>
      <c r="ME312" s="173"/>
      <c r="MF312" s="173"/>
      <c r="MG312" s="173"/>
      <c r="MH312" s="173"/>
      <c r="MI312" s="173"/>
      <c r="MJ312" s="173"/>
      <c r="MK312" s="173"/>
      <c r="ML312" s="173"/>
      <c r="MM312" s="173"/>
      <c r="MN312" s="173"/>
      <c r="MO312" s="173"/>
      <c r="MP312" s="173"/>
      <c r="MQ312" s="173"/>
      <c r="MR312" s="173"/>
      <c r="MS312" s="173"/>
      <c r="MT312" s="173"/>
      <c r="MU312" s="173"/>
      <c r="MV312" s="173"/>
      <c r="MW312" s="173"/>
      <c r="MX312" s="173"/>
      <c r="MY312" s="173"/>
      <c r="MZ312" s="173"/>
      <c r="NA312" s="173"/>
      <c r="NB312" s="173"/>
      <c r="NC312" s="173"/>
      <c r="ND312" s="173"/>
      <c r="NE312" s="173"/>
      <c r="NF312" s="173"/>
      <c r="NG312" s="173"/>
      <c r="NH312" s="173"/>
      <c r="NI312" s="173"/>
      <c r="NJ312" s="173"/>
      <c r="NK312" s="173"/>
      <c r="NL312" s="173"/>
      <c r="NM312" s="173"/>
      <c r="NN312" s="173"/>
      <c r="NO312" s="173"/>
      <c r="NP312" s="173"/>
      <c r="NQ312" s="173"/>
      <c r="NR312" s="173"/>
      <c r="NS312" s="173"/>
      <c r="NT312" s="173"/>
      <c r="NU312" s="173"/>
      <c r="NV312" s="173"/>
      <c r="NW312" s="173"/>
      <c r="NX312" s="173"/>
      <c r="NY312" s="173"/>
      <c r="NZ312" s="173"/>
      <c r="OA312" s="173"/>
      <c r="OB312" s="173"/>
      <c r="OC312" s="173"/>
      <c r="OD312" s="173"/>
      <c r="OE312" s="173"/>
      <c r="OF312" s="173"/>
      <c r="OG312" s="173"/>
      <c r="OH312" s="173"/>
      <c r="OI312" s="173"/>
      <c r="OJ312" s="173"/>
      <c r="OK312" s="173"/>
      <c r="OL312" s="173"/>
      <c r="OM312" s="173"/>
      <c r="ON312" s="173"/>
      <c r="OO312" s="173"/>
      <c r="OP312" s="173"/>
      <c r="OQ312" s="173"/>
      <c r="OR312" s="173"/>
      <c r="OS312" s="173"/>
      <c r="OT312" s="173"/>
      <c r="OU312" s="173"/>
      <c r="OV312" s="173"/>
      <c r="OW312" s="173"/>
      <c r="OX312" s="173"/>
      <c r="OY312" s="173"/>
      <c r="OZ312" s="173"/>
      <c r="PA312" s="173"/>
      <c r="PB312" s="173"/>
      <c r="PC312" s="173"/>
      <c r="PD312" s="173"/>
      <c r="PE312" s="173"/>
      <c r="PF312" s="173"/>
      <c r="PG312" s="173"/>
      <c r="PH312" s="173"/>
      <c r="PI312" s="173"/>
      <c r="PJ312" s="173"/>
      <c r="PK312" s="173"/>
      <c r="PL312" s="173"/>
      <c r="PM312" s="173"/>
      <c r="PN312" s="173"/>
      <c r="PO312" s="173"/>
      <c r="PP312" s="173"/>
      <c r="PQ312" s="173"/>
      <c r="PR312" s="173"/>
      <c r="PS312" s="173"/>
      <c r="PT312" s="173"/>
      <c r="PU312" s="173"/>
      <c r="PV312" s="173"/>
      <c r="PW312" s="173"/>
      <c r="PX312" s="173"/>
      <c r="PY312" s="173"/>
      <c r="PZ312" s="173"/>
      <c r="QA312" s="173"/>
      <c r="QB312" s="173"/>
      <c r="QC312" s="173"/>
      <c r="QD312" s="173"/>
      <c r="QE312" s="173"/>
      <c r="QF312" s="173"/>
      <c r="QG312" s="173"/>
      <c r="QH312" s="173"/>
      <c r="QI312" s="173"/>
      <c r="QJ312" s="173"/>
      <c r="QK312" s="173"/>
      <c r="QL312" s="173"/>
      <c r="QM312" s="173"/>
      <c r="QN312" s="173"/>
      <c r="QO312" s="173"/>
      <c r="QP312" s="173"/>
      <c r="QQ312" s="173"/>
      <c r="QR312" s="173"/>
      <c r="QS312" s="173"/>
      <c r="QT312" s="173"/>
      <c r="QU312" s="173"/>
      <c r="QV312" s="173"/>
      <c r="QW312" s="173"/>
      <c r="QX312" s="173"/>
      <c r="QY312" s="173"/>
      <c r="QZ312" s="173"/>
      <c r="RA312" s="173"/>
      <c r="RB312" s="173"/>
      <c r="RC312" s="173"/>
      <c r="RD312" s="173"/>
      <c r="RE312" s="173"/>
      <c r="RF312" s="173"/>
      <c r="RG312" s="173"/>
      <c r="RH312" s="173"/>
      <c r="RI312" s="173"/>
      <c r="RJ312" s="173"/>
      <c r="RK312" s="173"/>
      <c r="RL312" s="173"/>
      <c r="RM312" s="173"/>
      <c r="RN312" s="173"/>
      <c r="RO312" s="173"/>
      <c r="RP312" s="173"/>
      <c r="RQ312" s="173"/>
      <c r="RR312" s="173"/>
      <c r="RS312" s="173"/>
      <c r="RT312" s="173"/>
      <c r="RU312" s="173"/>
      <c r="RV312" s="173"/>
      <c r="RW312" s="173"/>
      <c r="RX312" s="173"/>
      <c r="RY312" s="173"/>
      <c r="RZ312" s="173"/>
      <c r="SA312" s="173"/>
      <c r="SB312" s="173"/>
      <c r="SC312" s="173"/>
      <c r="SD312" s="173"/>
      <c r="SE312" s="173"/>
      <c r="SF312" s="173"/>
      <c r="SG312" s="173"/>
      <c r="SH312" s="173"/>
      <c r="SI312" s="173"/>
      <c r="SJ312" s="173"/>
      <c r="SK312" s="173"/>
      <c r="SL312" s="173"/>
      <c r="SM312" s="173"/>
      <c r="SN312" s="173"/>
      <c r="SO312" s="173"/>
      <c r="SP312" s="173"/>
      <c r="SQ312" s="173"/>
      <c r="SR312" s="173"/>
      <c r="SS312" s="173"/>
      <c r="ST312" s="173"/>
      <c r="SU312" s="173"/>
      <c r="SV312" s="173"/>
      <c r="SW312" s="173"/>
      <c r="SX312" s="173"/>
      <c r="SY312" s="173"/>
      <c r="SZ312" s="173"/>
      <c r="TA312" s="173"/>
      <c r="TB312" s="173"/>
      <c r="TC312" s="173"/>
      <c r="TD312" s="173"/>
      <c r="TE312" s="173"/>
      <c r="TF312" s="173"/>
      <c r="TG312" s="173"/>
      <c r="TH312" s="173"/>
      <c r="TI312" s="173"/>
      <c r="TJ312" s="173"/>
      <c r="TK312" s="173"/>
      <c r="TL312" s="173"/>
      <c r="TM312" s="173"/>
      <c r="TN312" s="173"/>
      <c r="TO312" s="173"/>
      <c r="TP312" s="173"/>
      <c r="TQ312" s="173"/>
      <c r="TR312" s="173"/>
      <c r="TS312" s="173"/>
      <c r="TT312" s="173"/>
      <c r="TU312" s="173"/>
      <c r="TV312" s="173"/>
      <c r="TW312" s="173"/>
      <c r="TX312" s="173"/>
      <c r="TY312" s="173"/>
      <c r="TZ312" s="173"/>
      <c r="UA312" s="173"/>
      <c r="UB312" s="173"/>
      <c r="UC312" s="173"/>
      <c r="UD312" s="173"/>
      <c r="UE312" s="173"/>
      <c r="UF312" s="173"/>
      <c r="UG312" s="173"/>
      <c r="UH312" s="173"/>
      <c r="UI312" s="173"/>
      <c r="UJ312" s="173"/>
      <c r="UK312" s="173"/>
      <c r="UL312" s="173"/>
      <c r="UM312" s="173"/>
      <c r="UN312" s="173"/>
      <c r="UO312" s="173"/>
      <c r="UP312" s="173"/>
      <c r="UQ312" s="173"/>
      <c r="UR312" s="173"/>
      <c r="US312" s="173"/>
      <c r="UT312" s="173"/>
      <c r="UU312" s="173"/>
      <c r="UV312" s="173"/>
      <c r="UW312" s="173"/>
      <c r="UX312" s="173"/>
      <c r="UY312" s="173"/>
      <c r="UZ312" s="173"/>
      <c r="VA312" s="173"/>
      <c r="VB312" s="173"/>
      <c r="VC312" s="173"/>
      <c r="VD312" s="173"/>
      <c r="VE312" s="173"/>
      <c r="VF312" s="173"/>
      <c r="VG312" s="173"/>
      <c r="VH312" s="173"/>
      <c r="VI312" s="173"/>
      <c r="VJ312" s="173"/>
      <c r="VK312" s="173"/>
      <c r="VL312" s="173"/>
      <c r="VM312" s="173"/>
      <c r="VN312" s="173"/>
      <c r="VO312" s="173"/>
      <c r="VP312" s="173"/>
      <c r="VQ312" s="173"/>
      <c r="VR312" s="173"/>
      <c r="VS312" s="173"/>
      <c r="VT312" s="173"/>
      <c r="VU312" s="173"/>
      <c r="VV312" s="173"/>
      <c r="VW312" s="173"/>
      <c r="VX312" s="173"/>
      <c r="VY312" s="173"/>
      <c r="VZ312" s="173"/>
      <c r="WA312" s="173"/>
      <c r="WB312" s="173"/>
      <c r="WC312" s="173"/>
      <c r="WD312" s="173"/>
      <c r="WE312" s="173"/>
      <c r="WF312" s="173"/>
      <c r="WG312" s="173"/>
      <c r="WH312" s="173"/>
      <c r="WI312" s="173"/>
      <c r="WJ312" s="173"/>
      <c r="WK312" s="173"/>
      <c r="WL312" s="173"/>
      <c r="WM312" s="173"/>
      <c r="WN312" s="173"/>
      <c r="WO312" s="173"/>
      <c r="WP312" s="173"/>
    </row>
    <row r="313" spans="1:614">
      <c r="A313" s="173"/>
      <c r="B313" s="173"/>
      <c r="C313" s="173"/>
      <c r="D313" s="173"/>
      <c r="E313" s="173"/>
      <c r="F313" s="173"/>
      <c r="G313" s="173"/>
      <c r="H313" s="173"/>
      <c r="I313" s="173"/>
      <c r="J313" s="173"/>
      <c r="K313" s="173"/>
      <c r="L313" s="173"/>
      <c r="M313" s="173"/>
      <c r="N313" s="173"/>
      <c r="O313" s="173"/>
      <c r="P313" s="173"/>
      <c r="Q313" s="173"/>
      <c r="R313" s="173"/>
      <c r="S313" s="173"/>
      <c r="T313" s="173"/>
      <c r="U313" s="173"/>
      <c r="V313" s="173"/>
      <c r="W313" s="173"/>
      <c r="X313" s="173"/>
      <c r="Y313" s="173"/>
      <c r="Z313" s="173"/>
      <c r="AA313" s="173"/>
      <c r="AB313" s="173"/>
      <c r="AC313" s="173"/>
      <c r="AD313" s="173"/>
      <c r="AE313" s="173"/>
      <c r="AF313" s="173"/>
      <c r="AG313" s="173"/>
      <c r="AH313" s="173"/>
      <c r="AI313" s="173"/>
      <c r="AJ313" s="173"/>
      <c r="AK313" s="173"/>
      <c r="AL313" s="173"/>
      <c r="AM313" s="173"/>
      <c r="AN313" s="173"/>
      <c r="AO313" s="173"/>
      <c r="AP313" s="173"/>
      <c r="AQ313" s="173"/>
      <c r="AR313" s="173"/>
      <c r="AS313" s="173"/>
      <c r="AT313" s="173"/>
      <c r="AU313" s="173"/>
      <c r="AV313" s="173"/>
      <c r="AW313" s="173"/>
      <c r="AX313" s="173"/>
      <c r="AY313" s="173"/>
      <c r="AZ313" s="173"/>
      <c r="BA313" s="173"/>
      <c r="BB313" s="173"/>
      <c r="BC313" s="173"/>
      <c r="BD313" s="173"/>
      <c r="BE313" s="173"/>
      <c r="BF313" s="173"/>
      <c r="BG313" s="173"/>
      <c r="BH313" s="173"/>
      <c r="BI313" s="173"/>
      <c r="BJ313" s="173"/>
      <c r="BK313" s="173"/>
      <c r="BL313" s="173"/>
      <c r="BM313" s="173"/>
      <c r="BN313" s="173"/>
      <c r="BO313" s="173"/>
      <c r="BP313" s="173"/>
      <c r="BQ313" s="173"/>
      <c r="BR313" s="173"/>
      <c r="BS313" s="173"/>
      <c r="BT313" s="173"/>
      <c r="BU313" s="173"/>
      <c r="BV313" s="173"/>
      <c r="BW313" s="173"/>
      <c r="BX313" s="173"/>
      <c r="BY313" s="173"/>
      <c r="BZ313" s="173"/>
      <c r="CA313" s="173"/>
      <c r="CB313" s="173"/>
      <c r="CC313" s="173"/>
      <c r="CD313" s="173"/>
      <c r="CE313" s="173"/>
      <c r="CF313" s="173"/>
      <c r="CG313" s="173"/>
      <c r="CH313" s="173"/>
      <c r="CI313" s="173"/>
      <c r="CJ313" s="173"/>
      <c r="CK313" s="173"/>
      <c r="CL313" s="173"/>
      <c r="CM313" s="173"/>
      <c r="CN313" s="173"/>
      <c r="CO313" s="173"/>
      <c r="CP313" s="173"/>
      <c r="CQ313" s="173"/>
      <c r="CR313" s="173"/>
      <c r="CS313" s="173"/>
      <c r="CT313" s="173"/>
      <c r="CU313" s="173"/>
      <c r="CV313" s="173"/>
      <c r="CW313" s="173"/>
      <c r="CX313" s="173"/>
      <c r="CY313" s="173"/>
      <c r="CZ313" s="173"/>
      <c r="DA313" s="173"/>
      <c r="DB313" s="173"/>
      <c r="DC313" s="173"/>
      <c r="DD313" s="173"/>
      <c r="DE313" s="173"/>
      <c r="DF313" s="173"/>
      <c r="DG313" s="173"/>
      <c r="DH313" s="173"/>
      <c r="DI313" s="173"/>
      <c r="DJ313" s="173"/>
      <c r="DK313" s="173"/>
      <c r="DL313" s="173"/>
      <c r="DM313" s="173"/>
      <c r="DN313" s="173"/>
      <c r="DO313" s="173"/>
      <c r="DP313" s="173"/>
      <c r="DQ313" s="173"/>
      <c r="DR313" s="173"/>
      <c r="DS313" s="173"/>
      <c r="DT313" s="173"/>
      <c r="DU313" s="173"/>
      <c r="DV313" s="173"/>
      <c r="DW313" s="173"/>
      <c r="DX313" s="173"/>
      <c r="DY313" s="173"/>
      <c r="DZ313" s="173"/>
      <c r="EA313" s="173"/>
      <c r="EB313" s="173"/>
      <c r="EC313" s="173"/>
      <c r="ED313" s="173"/>
      <c r="EE313" s="173"/>
      <c r="EF313" s="173"/>
      <c r="EG313" s="173"/>
      <c r="EH313" s="173"/>
      <c r="EI313" s="173"/>
      <c r="EJ313" s="173"/>
      <c r="EK313" s="173"/>
      <c r="EL313" s="173"/>
      <c r="EM313" s="173"/>
      <c r="EN313" s="173"/>
      <c r="EO313" s="173"/>
      <c r="EP313" s="173"/>
      <c r="EQ313" s="173"/>
      <c r="ER313" s="173"/>
      <c r="ES313" s="173"/>
      <c r="ET313" s="173"/>
      <c r="EU313" s="173"/>
      <c r="EV313" s="173"/>
      <c r="EW313" s="173"/>
      <c r="EX313" s="173"/>
      <c r="EY313" s="173"/>
      <c r="EZ313" s="173"/>
      <c r="FA313" s="173"/>
      <c r="FB313" s="173"/>
      <c r="FC313" s="173"/>
      <c r="FD313" s="173"/>
      <c r="FE313" s="173"/>
      <c r="FF313" s="173"/>
      <c r="FG313" s="173"/>
      <c r="FH313" s="173"/>
      <c r="FI313" s="173"/>
      <c r="FJ313" s="173"/>
      <c r="FK313" s="173"/>
      <c r="FL313" s="173"/>
      <c r="FM313" s="173"/>
      <c r="FN313" s="173"/>
      <c r="FO313" s="173"/>
      <c r="FP313" s="173"/>
      <c r="FQ313" s="173"/>
      <c r="FR313" s="173"/>
      <c r="FS313" s="173"/>
      <c r="FT313" s="173"/>
      <c r="FU313" s="173"/>
      <c r="FV313" s="173"/>
      <c r="FW313" s="173"/>
      <c r="FX313" s="173"/>
      <c r="FY313" s="173"/>
      <c r="FZ313" s="173"/>
      <c r="GA313" s="173"/>
      <c r="GB313" s="173"/>
      <c r="GC313" s="173"/>
      <c r="GD313" s="173"/>
      <c r="GE313" s="173"/>
      <c r="GF313" s="173"/>
      <c r="GG313" s="173"/>
      <c r="GH313" s="173"/>
      <c r="GI313" s="173"/>
      <c r="GJ313" s="173"/>
      <c r="GK313" s="173"/>
      <c r="GL313" s="173"/>
      <c r="GM313" s="173"/>
      <c r="GN313" s="173"/>
      <c r="GO313" s="173"/>
      <c r="GP313" s="173"/>
      <c r="GQ313" s="173"/>
      <c r="GR313" s="173"/>
      <c r="GS313" s="173"/>
      <c r="GT313" s="173"/>
      <c r="GU313" s="173"/>
      <c r="GV313" s="173"/>
      <c r="GW313" s="173"/>
      <c r="GX313" s="173"/>
      <c r="GY313" s="173"/>
      <c r="GZ313" s="173"/>
      <c r="HA313" s="173"/>
      <c r="HB313" s="173"/>
      <c r="HC313" s="173"/>
      <c r="HD313" s="173"/>
      <c r="HE313" s="173"/>
      <c r="HF313" s="173"/>
      <c r="HG313" s="173"/>
      <c r="HH313" s="173"/>
      <c r="HI313" s="173"/>
      <c r="HJ313" s="173"/>
      <c r="HK313" s="173"/>
      <c r="HL313" s="173"/>
      <c r="HM313" s="173"/>
      <c r="HN313" s="173"/>
      <c r="HO313" s="173"/>
      <c r="HP313" s="173"/>
      <c r="HQ313" s="173"/>
      <c r="HR313" s="173"/>
      <c r="HS313" s="173"/>
      <c r="HT313" s="173"/>
      <c r="HU313" s="173"/>
      <c r="HV313" s="173"/>
      <c r="HW313" s="173"/>
      <c r="HX313" s="173"/>
      <c r="HY313" s="173"/>
      <c r="HZ313" s="173"/>
      <c r="IA313" s="173"/>
      <c r="IB313" s="173"/>
      <c r="IC313" s="173"/>
      <c r="ID313" s="173"/>
      <c r="IE313" s="173"/>
      <c r="IF313" s="173"/>
      <c r="IG313" s="173"/>
      <c r="IH313" s="173"/>
      <c r="II313" s="173"/>
      <c r="IJ313" s="173"/>
      <c r="IK313" s="173"/>
      <c r="IL313" s="173"/>
      <c r="IM313" s="173"/>
      <c r="IN313" s="173"/>
      <c r="IO313" s="173"/>
      <c r="IP313" s="173"/>
      <c r="IQ313" s="173"/>
      <c r="IR313" s="173"/>
      <c r="IS313" s="173"/>
      <c r="IT313" s="173"/>
      <c r="IU313" s="173"/>
      <c r="IV313" s="173"/>
      <c r="IW313" s="173"/>
      <c r="IX313" s="173"/>
      <c r="IY313" s="173"/>
      <c r="IZ313" s="173"/>
      <c r="JA313" s="173"/>
      <c r="JB313" s="173"/>
      <c r="JC313" s="173"/>
      <c r="JD313" s="173"/>
      <c r="JE313" s="173"/>
      <c r="JF313" s="173"/>
      <c r="JG313" s="173"/>
      <c r="JH313" s="173"/>
      <c r="JI313" s="173"/>
      <c r="JJ313" s="173"/>
      <c r="JK313" s="173"/>
      <c r="JL313" s="173"/>
      <c r="JM313" s="173"/>
      <c r="JN313" s="173"/>
      <c r="JO313" s="173"/>
      <c r="JP313" s="173"/>
      <c r="JQ313" s="173"/>
      <c r="JR313" s="173"/>
      <c r="JS313" s="173"/>
      <c r="JT313" s="173"/>
      <c r="JU313" s="173"/>
      <c r="JV313" s="173"/>
      <c r="JW313" s="173"/>
      <c r="JX313" s="173"/>
      <c r="JY313" s="173"/>
      <c r="JZ313" s="173"/>
      <c r="KA313" s="173"/>
      <c r="KB313" s="173"/>
      <c r="KC313" s="173"/>
      <c r="KD313" s="173"/>
      <c r="KE313" s="173"/>
      <c r="KF313" s="173"/>
      <c r="KG313" s="173"/>
      <c r="KH313" s="173"/>
      <c r="KI313" s="173"/>
      <c r="KJ313" s="173"/>
      <c r="KK313" s="173"/>
      <c r="KL313" s="173"/>
      <c r="KM313" s="173"/>
      <c r="KN313" s="173"/>
      <c r="KO313" s="173"/>
      <c r="KP313" s="173"/>
      <c r="KQ313" s="173"/>
      <c r="KR313" s="173"/>
      <c r="KS313" s="173"/>
      <c r="KT313" s="173"/>
      <c r="KU313" s="173"/>
      <c r="KV313" s="173"/>
      <c r="KW313" s="173"/>
      <c r="KX313" s="173"/>
      <c r="KY313" s="173"/>
      <c r="KZ313" s="173"/>
      <c r="LA313" s="173"/>
      <c r="LB313" s="173"/>
      <c r="LC313" s="173"/>
      <c r="LD313" s="173"/>
      <c r="LE313" s="173"/>
      <c r="LF313" s="173"/>
      <c r="LG313" s="173"/>
      <c r="LH313" s="173"/>
      <c r="LI313" s="173"/>
      <c r="LJ313" s="173"/>
      <c r="LK313" s="173"/>
      <c r="LL313" s="173"/>
      <c r="LM313" s="173"/>
      <c r="LN313" s="173"/>
      <c r="LO313" s="173"/>
      <c r="LP313" s="173"/>
      <c r="LQ313" s="173"/>
      <c r="LR313" s="173"/>
      <c r="LS313" s="173"/>
      <c r="LT313" s="173"/>
      <c r="LU313" s="173"/>
      <c r="LV313" s="173"/>
      <c r="LW313" s="173"/>
      <c r="LX313" s="173"/>
      <c r="LY313" s="173"/>
      <c r="LZ313" s="173"/>
      <c r="MA313" s="173"/>
      <c r="MB313" s="173"/>
      <c r="MC313" s="173"/>
      <c r="MD313" s="173"/>
      <c r="ME313" s="173"/>
      <c r="MF313" s="173"/>
      <c r="MG313" s="173"/>
      <c r="MH313" s="173"/>
      <c r="MI313" s="173"/>
      <c r="MJ313" s="173"/>
      <c r="MK313" s="173"/>
      <c r="ML313" s="173"/>
      <c r="MM313" s="173"/>
      <c r="MN313" s="173"/>
      <c r="MO313" s="173"/>
      <c r="MP313" s="173"/>
      <c r="MQ313" s="173"/>
      <c r="MR313" s="173"/>
      <c r="MS313" s="173"/>
      <c r="MT313" s="173"/>
      <c r="MU313" s="173"/>
      <c r="MV313" s="173"/>
      <c r="MW313" s="173"/>
      <c r="MX313" s="173"/>
      <c r="MY313" s="173"/>
      <c r="MZ313" s="173"/>
      <c r="NA313" s="173"/>
      <c r="NB313" s="173"/>
      <c r="NC313" s="173"/>
      <c r="ND313" s="173"/>
      <c r="NE313" s="173"/>
      <c r="NF313" s="173"/>
      <c r="NG313" s="173"/>
      <c r="NH313" s="173"/>
      <c r="NI313" s="173"/>
      <c r="NJ313" s="173"/>
      <c r="NK313" s="173"/>
      <c r="NL313" s="173"/>
      <c r="NM313" s="173"/>
      <c r="NN313" s="173"/>
      <c r="NO313" s="173"/>
      <c r="NP313" s="173"/>
      <c r="NQ313" s="173"/>
      <c r="NR313" s="173"/>
      <c r="NS313" s="173"/>
      <c r="NT313" s="173"/>
      <c r="NU313" s="173"/>
      <c r="NV313" s="173"/>
      <c r="NW313" s="173"/>
      <c r="NX313" s="173"/>
      <c r="NY313" s="173"/>
      <c r="NZ313" s="173"/>
      <c r="OA313" s="173"/>
      <c r="OB313" s="173"/>
      <c r="OC313" s="173"/>
      <c r="OD313" s="173"/>
      <c r="OE313" s="173"/>
      <c r="OF313" s="173"/>
      <c r="OG313" s="173"/>
      <c r="OH313" s="173"/>
      <c r="OI313" s="173"/>
      <c r="OJ313" s="173"/>
      <c r="OK313" s="173"/>
      <c r="OL313" s="173"/>
      <c r="OM313" s="173"/>
      <c r="ON313" s="173"/>
      <c r="OO313" s="173"/>
      <c r="OP313" s="173"/>
      <c r="OQ313" s="173"/>
      <c r="OR313" s="173"/>
      <c r="OS313" s="173"/>
      <c r="OT313" s="173"/>
      <c r="OU313" s="173"/>
      <c r="OV313" s="173"/>
      <c r="OW313" s="173"/>
      <c r="OX313" s="173"/>
      <c r="OY313" s="173"/>
      <c r="OZ313" s="173"/>
      <c r="PA313" s="173"/>
      <c r="PB313" s="173"/>
      <c r="PC313" s="173"/>
      <c r="PD313" s="173"/>
      <c r="PE313" s="173"/>
      <c r="PF313" s="173"/>
      <c r="PG313" s="173"/>
      <c r="PH313" s="173"/>
      <c r="PI313" s="173"/>
      <c r="PJ313" s="173"/>
      <c r="PK313" s="173"/>
      <c r="PL313" s="173"/>
      <c r="PM313" s="173"/>
      <c r="PN313" s="173"/>
      <c r="PO313" s="173"/>
      <c r="PP313" s="173"/>
      <c r="PQ313" s="173"/>
      <c r="PR313" s="173"/>
      <c r="PS313" s="173"/>
      <c r="PT313" s="173"/>
      <c r="PU313" s="173"/>
      <c r="PV313" s="173"/>
      <c r="PW313" s="173"/>
      <c r="PX313" s="173"/>
      <c r="PY313" s="173"/>
      <c r="PZ313" s="173"/>
      <c r="QA313" s="173"/>
      <c r="QB313" s="173"/>
      <c r="QC313" s="173"/>
      <c r="QD313" s="173"/>
      <c r="QE313" s="173"/>
      <c r="QF313" s="173"/>
      <c r="QG313" s="173"/>
      <c r="QH313" s="173"/>
      <c r="QI313" s="173"/>
      <c r="QJ313" s="173"/>
      <c r="QK313" s="173"/>
      <c r="QL313" s="173"/>
      <c r="QM313" s="173"/>
      <c r="QN313" s="173"/>
      <c r="QO313" s="173"/>
      <c r="QP313" s="173"/>
      <c r="QQ313" s="173"/>
      <c r="QR313" s="173"/>
      <c r="QS313" s="173"/>
      <c r="QT313" s="173"/>
      <c r="QU313" s="173"/>
      <c r="QV313" s="173"/>
      <c r="QW313" s="173"/>
      <c r="QX313" s="173"/>
      <c r="QY313" s="173"/>
      <c r="QZ313" s="173"/>
      <c r="RA313" s="173"/>
      <c r="RB313" s="173"/>
      <c r="RC313" s="173"/>
      <c r="RD313" s="173"/>
      <c r="RE313" s="173"/>
      <c r="RF313" s="173"/>
      <c r="RG313" s="173"/>
      <c r="RH313" s="173"/>
      <c r="RI313" s="173"/>
      <c r="RJ313" s="173"/>
      <c r="RK313" s="173"/>
      <c r="RL313" s="173"/>
      <c r="RM313" s="173"/>
      <c r="RN313" s="173"/>
      <c r="RO313" s="173"/>
      <c r="RP313" s="173"/>
      <c r="RQ313" s="173"/>
      <c r="RR313" s="173"/>
      <c r="RS313" s="173"/>
      <c r="RT313" s="173"/>
      <c r="RU313" s="173"/>
      <c r="RV313" s="173"/>
      <c r="RW313" s="173"/>
      <c r="RX313" s="173"/>
      <c r="RY313" s="173"/>
      <c r="RZ313" s="173"/>
      <c r="SA313" s="173"/>
      <c r="SB313" s="173"/>
      <c r="SC313" s="173"/>
      <c r="SD313" s="173"/>
      <c r="SE313" s="173"/>
      <c r="SF313" s="173"/>
      <c r="SG313" s="173"/>
      <c r="SH313" s="173"/>
      <c r="SI313" s="173"/>
      <c r="SJ313" s="173"/>
      <c r="SK313" s="173"/>
      <c r="SL313" s="173"/>
      <c r="SM313" s="173"/>
      <c r="SN313" s="173"/>
      <c r="SO313" s="173"/>
      <c r="SP313" s="173"/>
      <c r="SQ313" s="173"/>
      <c r="SR313" s="173"/>
      <c r="SS313" s="173"/>
      <c r="ST313" s="173"/>
      <c r="SU313" s="173"/>
      <c r="SV313" s="173"/>
      <c r="SW313" s="173"/>
      <c r="SX313" s="173"/>
      <c r="SY313" s="173"/>
      <c r="SZ313" s="173"/>
      <c r="TA313" s="173"/>
      <c r="TB313" s="173"/>
      <c r="TC313" s="173"/>
      <c r="TD313" s="173"/>
      <c r="TE313" s="173"/>
      <c r="TF313" s="173"/>
      <c r="TG313" s="173"/>
      <c r="TH313" s="173"/>
      <c r="TI313" s="173"/>
      <c r="TJ313" s="173"/>
      <c r="TK313" s="173"/>
      <c r="TL313" s="173"/>
      <c r="TM313" s="173"/>
      <c r="TN313" s="173"/>
      <c r="TO313" s="173"/>
      <c r="TP313" s="173"/>
      <c r="TQ313" s="173"/>
      <c r="TR313" s="173"/>
      <c r="TS313" s="173"/>
      <c r="TT313" s="173"/>
      <c r="TU313" s="173"/>
      <c r="TV313" s="173"/>
      <c r="TW313" s="173"/>
      <c r="TX313" s="173"/>
      <c r="TY313" s="173"/>
      <c r="TZ313" s="173"/>
      <c r="UA313" s="173"/>
      <c r="UB313" s="173"/>
      <c r="UC313" s="173"/>
      <c r="UD313" s="173"/>
      <c r="UE313" s="173"/>
      <c r="UF313" s="173"/>
      <c r="UG313" s="173"/>
      <c r="UH313" s="173"/>
      <c r="UI313" s="173"/>
      <c r="UJ313" s="173"/>
      <c r="UK313" s="173"/>
      <c r="UL313" s="173"/>
      <c r="UM313" s="173"/>
      <c r="UN313" s="173"/>
      <c r="UO313" s="173"/>
      <c r="UP313" s="173"/>
      <c r="UQ313" s="173"/>
      <c r="UR313" s="173"/>
      <c r="US313" s="173"/>
      <c r="UT313" s="173"/>
      <c r="UU313" s="173"/>
      <c r="UV313" s="173"/>
      <c r="UW313" s="173"/>
      <c r="UX313" s="173"/>
      <c r="UY313" s="173"/>
      <c r="UZ313" s="173"/>
      <c r="VA313" s="173"/>
      <c r="VB313" s="173"/>
      <c r="VC313" s="173"/>
      <c r="VD313" s="173"/>
      <c r="VE313" s="173"/>
      <c r="VF313" s="173"/>
      <c r="VG313" s="173"/>
      <c r="VH313" s="173"/>
      <c r="VI313" s="173"/>
      <c r="VJ313" s="173"/>
      <c r="VK313" s="173"/>
      <c r="VL313" s="173"/>
      <c r="VM313" s="173"/>
      <c r="VN313" s="173"/>
      <c r="VO313" s="173"/>
      <c r="VP313" s="173"/>
      <c r="VQ313" s="173"/>
      <c r="VR313" s="173"/>
      <c r="VS313" s="173"/>
      <c r="VT313" s="173"/>
      <c r="VU313" s="173"/>
      <c r="VV313" s="173"/>
      <c r="VW313" s="173"/>
      <c r="VX313" s="173"/>
      <c r="VY313" s="173"/>
      <c r="VZ313" s="173"/>
      <c r="WA313" s="173"/>
      <c r="WB313" s="173"/>
      <c r="WC313" s="173"/>
      <c r="WD313" s="173"/>
      <c r="WE313" s="173"/>
      <c r="WF313" s="173"/>
      <c r="WG313" s="173"/>
      <c r="WH313" s="173"/>
      <c r="WI313" s="173"/>
      <c r="WJ313" s="173"/>
      <c r="WK313" s="173"/>
      <c r="WL313" s="173"/>
      <c r="WM313" s="173"/>
      <c r="WN313" s="173"/>
      <c r="WO313" s="173"/>
      <c r="WP313" s="173"/>
    </row>
    <row r="314" spans="1:614">
      <c r="A314" s="173"/>
      <c r="B314" s="132" t="s">
        <v>416</v>
      </c>
      <c r="E314" s="173"/>
      <c r="G314" s="173"/>
      <c r="H314" s="173"/>
      <c r="I314" s="173"/>
      <c r="J314" s="173"/>
      <c r="K314" s="173"/>
      <c r="L314" s="173"/>
      <c r="M314" s="173"/>
      <c r="N314" s="173"/>
      <c r="O314" s="173"/>
      <c r="P314" s="173"/>
      <c r="Q314" s="173"/>
      <c r="R314" s="173"/>
      <c r="S314" s="173"/>
      <c r="T314" s="173"/>
      <c r="U314" s="173"/>
      <c r="V314" s="173"/>
      <c r="W314" s="173"/>
      <c r="X314" s="173"/>
      <c r="Y314" s="173"/>
      <c r="Z314" s="173"/>
      <c r="AA314" s="173"/>
      <c r="AB314" s="173"/>
      <c r="AC314" s="173"/>
      <c r="AD314" s="173"/>
      <c r="AE314" s="173"/>
      <c r="AF314" s="173"/>
      <c r="AG314" s="173"/>
      <c r="AH314" s="173"/>
      <c r="AI314" s="173"/>
      <c r="AJ314" s="173"/>
      <c r="AK314" s="173"/>
      <c r="AL314" s="173"/>
      <c r="AM314" s="173"/>
      <c r="AN314" s="173"/>
      <c r="AO314" s="173"/>
      <c r="AP314" s="173"/>
      <c r="AQ314" s="173"/>
      <c r="AR314" s="173"/>
      <c r="AS314" s="173"/>
      <c r="AT314" s="173"/>
      <c r="AU314" s="173"/>
      <c r="AV314" s="173"/>
      <c r="AW314" s="173"/>
      <c r="AX314" s="173"/>
      <c r="AY314" s="173"/>
      <c r="AZ314" s="173"/>
      <c r="BA314" s="173"/>
      <c r="BB314" s="173"/>
      <c r="BC314" s="173"/>
      <c r="BD314" s="173"/>
      <c r="BE314" s="173"/>
      <c r="BF314" s="173"/>
      <c r="BG314" s="173"/>
      <c r="BH314" s="173"/>
      <c r="BI314" s="173"/>
      <c r="BJ314" s="173"/>
      <c r="BK314" s="173"/>
      <c r="BL314" s="173"/>
      <c r="BM314" s="173"/>
      <c r="BN314" s="173"/>
      <c r="BO314" s="173"/>
      <c r="BP314" s="173"/>
      <c r="BQ314" s="173"/>
      <c r="BR314" s="173"/>
      <c r="BS314" s="173"/>
      <c r="BT314" s="173"/>
      <c r="BU314" s="173"/>
      <c r="BV314" s="173"/>
      <c r="BW314" s="173"/>
      <c r="BX314" s="173"/>
      <c r="BY314" s="173"/>
      <c r="BZ314" s="173"/>
      <c r="CA314" s="173"/>
      <c r="CB314" s="173"/>
      <c r="CC314" s="173"/>
      <c r="CD314" s="173"/>
      <c r="CE314" s="173"/>
      <c r="CF314" s="173"/>
      <c r="CG314" s="173"/>
      <c r="CH314" s="173"/>
      <c r="CI314" s="173"/>
      <c r="CJ314" s="173"/>
      <c r="CK314" s="173"/>
      <c r="CL314" s="173"/>
      <c r="CM314" s="173"/>
      <c r="CN314" s="173"/>
      <c r="CO314" s="173"/>
      <c r="CP314" s="173"/>
      <c r="CQ314" s="173"/>
      <c r="CR314" s="173"/>
      <c r="CS314" s="173"/>
      <c r="CT314" s="173"/>
      <c r="CU314" s="173"/>
      <c r="CV314" s="173"/>
      <c r="CW314" s="173"/>
      <c r="CX314" s="173"/>
      <c r="CY314" s="173"/>
      <c r="CZ314" s="173"/>
      <c r="DA314" s="173"/>
      <c r="DB314" s="173"/>
      <c r="DC314" s="173"/>
      <c r="DD314" s="173"/>
      <c r="DE314" s="173"/>
      <c r="DF314" s="173"/>
      <c r="DG314" s="173"/>
      <c r="DH314" s="173"/>
      <c r="DI314" s="173"/>
      <c r="DJ314" s="173"/>
      <c r="DK314" s="173"/>
      <c r="DL314" s="173"/>
      <c r="DM314" s="173"/>
      <c r="DN314" s="173"/>
      <c r="DO314" s="173"/>
      <c r="DP314" s="173"/>
      <c r="DQ314" s="173"/>
      <c r="DR314" s="173"/>
      <c r="DS314" s="173"/>
      <c r="DT314" s="173"/>
      <c r="DU314" s="173"/>
      <c r="DV314" s="173"/>
      <c r="DW314" s="173"/>
      <c r="DX314" s="173"/>
      <c r="DY314" s="173"/>
      <c r="DZ314" s="173"/>
      <c r="EA314" s="173"/>
      <c r="EB314" s="173"/>
      <c r="EC314" s="173"/>
      <c r="ED314" s="173"/>
      <c r="EE314" s="173"/>
      <c r="EF314" s="173"/>
      <c r="EG314" s="173"/>
      <c r="EH314" s="173"/>
      <c r="EI314" s="173"/>
      <c r="EJ314" s="173"/>
      <c r="EK314" s="173"/>
      <c r="EL314" s="173"/>
      <c r="EM314" s="173"/>
      <c r="EN314" s="173"/>
      <c r="EO314" s="173"/>
      <c r="EP314" s="173"/>
      <c r="EQ314" s="173"/>
      <c r="ER314" s="173"/>
      <c r="ES314" s="173"/>
      <c r="ET314" s="173"/>
      <c r="EU314" s="173"/>
      <c r="EV314" s="173"/>
      <c r="EW314" s="173"/>
      <c r="EX314" s="173"/>
      <c r="EY314" s="173"/>
      <c r="EZ314" s="173"/>
      <c r="FA314" s="173"/>
      <c r="FB314" s="173"/>
      <c r="FC314" s="173"/>
      <c r="FD314" s="173"/>
      <c r="FE314" s="173"/>
      <c r="FF314" s="173"/>
      <c r="FG314" s="173"/>
      <c r="FH314" s="173"/>
      <c r="FI314" s="173"/>
      <c r="FJ314" s="173"/>
      <c r="FK314" s="173"/>
      <c r="FL314" s="173"/>
      <c r="FM314" s="173"/>
      <c r="FN314" s="173"/>
      <c r="FO314" s="173"/>
      <c r="FP314" s="173"/>
      <c r="FQ314" s="173"/>
      <c r="FR314" s="173"/>
      <c r="FS314" s="173"/>
      <c r="FT314" s="173"/>
      <c r="FU314" s="173"/>
      <c r="FV314" s="173"/>
      <c r="FW314" s="173"/>
      <c r="FX314" s="173"/>
      <c r="FY314" s="173"/>
      <c r="FZ314" s="173"/>
      <c r="GA314" s="173"/>
      <c r="GB314" s="173"/>
      <c r="GC314" s="173"/>
      <c r="GD314" s="173"/>
      <c r="GE314" s="173"/>
      <c r="GF314" s="173"/>
      <c r="GG314" s="173"/>
      <c r="GH314" s="173"/>
      <c r="GI314" s="173"/>
      <c r="GJ314" s="173"/>
      <c r="GK314" s="173"/>
      <c r="GL314" s="173"/>
      <c r="GM314" s="173"/>
      <c r="GN314" s="173"/>
      <c r="GO314" s="173"/>
      <c r="GP314" s="173"/>
      <c r="GQ314" s="173"/>
      <c r="GR314" s="173"/>
      <c r="GS314" s="173"/>
      <c r="GT314" s="173"/>
      <c r="GU314" s="173"/>
      <c r="GV314" s="173"/>
      <c r="GW314" s="173"/>
      <c r="GX314" s="173"/>
      <c r="GY314" s="173"/>
      <c r="GZ314" s="173"/>
      <c r="HA314" s="173"/>
      <c r="HB314" s="173"/>
      <c r="HC314" s="173"/>
      <c r="HD314" s="173"/>
      <c r="HE314" s="173"/>
      <c r="HF314" s="173"/>
      <c r="HG314" s="173"/>
      <c r="HH314" s="173"/>
      <c r="HI314" s="173"/>
      <c r="HJ314" s="173"/>
      <c r="HK314" s="173"/>
      <c r="HL314" s="173"/>
      <c r="HM314" s="173"/>
      <c r="HN314" s="173"/>
      <c r="HO314" s="173"/>
      <c r="HP314" s="173"/>
      <c r="HQ314" s="173"/>
      <c r="HR314" s="173"/>
      <c r="HS314" s="173"/>
      <c r="HT314" s="173"/>
      <c r="HU314" s="173"/>
      <c r="HV314" s="173"/>
      <c r="HW314" s="173"/>
      <c r="HX314" s="173"/>
      <c r="HY314" s="173"/>
      <c r="HZ314" s="173"/>
      <c r="IA314" s="173"/>
      <c r="IB314" s="173"/>
      <c r="IC314" s="173"/>
      <c r="ID314" s="173"/>
      <c r="IE314" s="173"/>
      <c r="IF314" s="173"/>
      <c r="IG314" s="173"/>
      <c r="IH314" s="173"/>
      <c r="II314" s="173"/>
      <c r="IJ314" s="173"/>
      <c r="IK314" s="173"/>
      <c r="IL314" s="173"/>
      <c r="IM314" s="173"/>
      <c r="IN314" s="173"/>
      <c r="IO314" s="173"/>
      <c r="IP314" s="173"/>
      <c r="IQ314" s="173"/>
      <c r="IR314" s="173"/>
      <c r="IS314" s="173"/>
      <c r="IT314" s="173"/>
      <c r="IU314" s="173"/>
      <c r="IV314" s="173"/>
      <c r="IW314" s="173"/>
      <c r="IX314" s="173"/>
      <c r="IY314" s="173"/>
      <c r="IZ314" s="173"/>
      <c r="JA314" s="173"/>
      <c r="JB314" s="173"/>
      <c r="JC314" s="173"/>
      <c r="JD314" s="173"/>
      <c r="JE314" s="173"/>
      <c r="JF314" s="173"/>
      <c r="JG314" s="173"/>
      <c r="JH314" s="173"/>
      <c r="JI314" s="173"/>
      <c r="JJ314" s="173"/>
      <c r="JK314" s="173"/>
      <c r="JL314" s="173"/>
      <c r="JM314" s="173"/>
      <c r="JN314" s="173"/>
      <c r="JO314" s="173"/>
      <c r="JP314" s="173"/>
      <c r="JQ314" s="173"/>
      <c r="JR314" s="173"/>
      <c r="JS314" s="173"/>
      <c r="JT314" s="173"/>
      <c r="JU314" s="173"/>
      <c r="JV314" s="173"/>
      <c r="JW314" s="173"/>
      <c r="JX314" s="173"/>
      <c r="JY314" s="173"/>
      <c r="JZ314" s="173"/>
      <c r="KA314" s="173"/>
      <c r="KB314" s="173"/>
      <c r="KC314" s="173"/>
      <c r="KD314" s="173"/>
      <c r="KE314" s="173"/>
      <c r="KF314" s="173"/>
      <c r="KG314" s="173"/>
      <c r="KH314" s="173"/>
      <c r="KI314" s="173"/>
      <c r="KJ314" s="173"/>
      <c r="KK314" s="173"/>
      <c r="KL314" s="173"/>
      <c r="KM314" s="173"/>
      <c r="KN314" s="173"/>
      <c r="KO314" s="173"/>
      <c r="KP314" s="173"/>
      <c r="KQ314" s="173"/>
      <c r="KR314" s="173"/>
      <c r="KS314" s="173"/>
      <c r="KT314" s="173"/>
      <c r="KU314" s="173"/>
      <c r="KV314" s="173"/>
      <c r="KW314" s="173"/>
      <c r="KX314" s="173"/>
      <c r="KY314" s="173"/>
      <c r="KZ314" s="173"/>
      <c r="LA314" s="173"/>
      <c r="LB314" s="173"/>
      <c r="LC314" s="173"/>
      <c r="LD314" s="173"/>
      <c r="LE314" s="173"/>
      <c r="LF314" s="173"/>
      <c r="LG314" s="173"/>
      <c r="LH314" s="173"/>
      <c r="LI314" s="173"/>
      <c r="LJ314" s="173"/>
      <c r="LK314" s="173"/>
      <c r="LL314" s="173"/>
      <c r="LM314" s="173"/>
      <c r="LN314" s="173"/>
      <c r="LO314" s="173"/>
      <c r="LP314" s="173"/>
      <c r="LQ314" s="173"/>
      <c r="LR314" s="173"/>
      <c r="LS314" s="173"/>
      <c r="LT314" s="173"/>
      <c r="LU314" s="173"/>
      <c r="LV314" s="173"/>
      <c r="LW314" s="173"/>
      <c r="LX314" s="173"/>
      <c r="LY314" s="173"/>
      <c r="LZ314" s="173"/>
      <c r="MA314" s="173"/>
      <c r="MB314" s="173"/>
      <c r="MC314" s="173"/>
      <c r="MD314" s="173"/>
      <c r="ME314" s="173"/>
      <c r="MF314" s="173"/>
      <c r="MG314" s="173"/>
      <c r="MH314" s="173"/>
      <c r="MI314" s="173"/>
      <c r="MJ314" s="173"/>
      <c r="MK314" s="173"/>
      <c r="ML314" s="173"/>
      <c r="MM314" s="173"/>
      <c r="MN314" s="173"/>
      <c r="MO314" s="173"/>
      <c r="MP314" s="173"/>
      <c r="MQ314" s="173"/>
      <c r="MR314" s="173"/>
      <c r="MS314" s="173"/>
      <c r="MT314" s="173"/>
      <c r="MU314" s="173"/>
      <c r="MV314" s="173"/>
      <c r="MW314" s="173"/>
      <c r="MX314" s="173"/>
      <c r="MY314" s="173"/>
      <c r="MZ314" s="173"/>
      <c r="NA314" s="173"/>
      <c r="NB314" s="173"/>
      <c r="NC314" s="173"/>
      <c r="ND314" s="173"/>
      <c r="NE314" s="173"/>
      <c r="NF314" s="173"/>
      <c r="NG314" s="173"/>
      <c r="NH314" s="173"/>
      <c r="NI314" s="173"/>
      <c r="NJ314" s="173"/>
      <c r="NK314" s="173"/>
      <c r="NL314" s="173"/>
      <c r="NM314" s="173"/>
      <c r="NN314" s="173"/>
      <c r="NO314" s="173"/>
      <c r="NP314" s="173"/>
      <c r="NQ314" s="173"/>
      <c r="NR314" s="173"/>
      <c r="NS314" s="173"/>
      <c r="NT314" s="173"/>
      <c r="NU314" s="173"/>
      <c r="NV314" s="173"/>
      <c r="NW314" s="173"/>
      <c r="NX314" s="173"/>
      <c r="NY314" s="173"/>
      <c r="NZ314" s="173"/>
      <c r="OA314" s="173"/>
      <c r="OB314" s="173"/>
      <c r="OC314" s="173"/>
      <c r="OD314" s="173"/>
      <c r="OE314" s="173"/>
      <c r="OF314" s="173"/>
      <c r="OG314" s="173"/>
      <c r="OH314" s="173"/>
      <c r="OI314" s="173"/>
      <c r="OJ314" s="173"/>
      <c r="OK314" s="173"/>
      <c r="OL314" s="173"/>
      <c r="OM314" s="173"/>
      <c r="ON314" s="173"/>
      <c r="OO314" s="173"/>
      <c r="OP314" s="173"/>
      <c r="OQ314" s="173"/>
      <c r="OR314" s="173"/>
      <c r="OS314" s="173"/>
      <c r="OT314" s="173"/>
      <c r="OU314" s="173"/>
      <c r="OV314" s="173"/>
      <c r="OW314" s="173"/>
      <c r="OX314" s="173"/>
      <c r="OY314" s="173"/>
      <c r="OZ314" s="173"/>
      <c r="PA314" s="173"/>
      <c r="PB314" s="173"/>
      <c r="PC314" s="173"/>
      <c r="PD314" s="173"/>
      <c r="PE314" s="173"/>
      <c r="PF314" s="173"/>
      <c r="PG314" s="173"/>
      <c r="PH314" s="173"/>
      <c r="PI314" s="173"/>
      <c r="PJ314" s="173"/>
      <c r="PK314" s="173"/>
      <c r="PL314" s="173"/>
      <c r="PM314" s="173"/>
      <c r="PN314" s="173"/>
      <c r="PO314" s="173"/>
      <c r="PP314" s="173"/>
      <c r="PQ314" s="173"/>
      <c r="PR314" s="173"/>
      <c r="PS314" s="173"/>
      <c r="PT314" s="173"/>
      <c r="PU314" s="173"/>
      <c r="PV314" s="173"/>
      <c r="PW314" s="173"/>
      <c r="PX314" s="173"/>
      <c r="PY314" s="173"/>
      <c r="PZ314" s="173"/>
      <c r="QA314" s="173"/>
      <c r="QB314" s="173"/>
      <c r="QC314" s="173"/>
      <c r="QD314" s="173"/>
      <c r="QE314" s="173"/>
      <c r="QF314" s="173"/>
      <c r="QG314" s="173"/>
      <c r="QH314" s="173"/>
      <c r="QI314" s="173"/>
      <c r="QJ314" s="173"/>
      <c r="QK314" s="173"/>
      <c r="QL314" s="173"/>
      <c r="QM314" s="173"/>
      <c r="QN314" s="173"/>
      <c r="QO314" s="173"/>
      <c r="QP314" s="173"/>
      <c r="QQ314" s="173"/>
      <c r="QR314" s="173"/>
      <c r="QS314" s="173"/>
      <c r="QT314" s="173"/>
      <c r="QU314" s="173"/>
      <c r="QV314" s="173"/>
      <c r="QW314" s="173"/>
      <c r="QX314" s="173"/>
      <c r="QY314" s="173"/>
      <c r="QZ314" s="173"/>
      <c r="RA314" s="173"/>
      <c r="RB314" s="173"/>
      <c r="RC314" s="173"/>
      <c r="RD314" s="173"/>
      <c r="RE314" s="173"/>
      <c r="RF314" s="173"/>
      <c r="RG314" s="173"/>
      <c r="RH314" s="173"/>
      <c r="RI314" s="173"/>
      <c r="RJ314" s="173"/>
      <c r="RK314" s="173"/>
      <c r="RL314" s="173"/>
      <c r="RM314" s="173"/>
      <c r="RN314" s="173"/>
      <c r="RO314" s="173"/>
      <c r="RP314" s="173"/>
      <c r="RQ314" s="173"/>
      <c r="RR314" s="173"/>
      <c r="RS314" s="173"/>
      <c r="RT314" s="173"/>
      <c r="RU314" s="173"/>
      <c r="RV314" s="173"/>
      <c r="RW314" s="173"/>
      <c r="RX314" s="173"/>
      <c r="RY314" s="173"/>
      <c r="RZ314" s="173"/>
      <c r="SA314" s="173"/>
      <c r="SB314" s="173"/>
      <c r="SC314" s="173"/>
      <c r="SD314" s="173"/>
      <c r="SE314" s="173"/>
      <c r="SF314" s="173"/>
      <c r="SG314" s="173"/>
      <c r="SH314" s="173"/>
      <c r="SI314" s="173"/>
      <c r="SJ314" s="173"/>
      <c r="SK314" s="173"/>
      <c r="SL314" s="173"/>
      <c r="SM314" s="173"/>
      <c r="SN314" s="173"/>
      <c r="SO314" s="173"/>
      <c r="SP314" s="173"/>
      <c r="SQ314" s="173"/>
      <c r="SR314" s="173"/>
      <c r="SS314" s="173"/>
      <c r="ST314" s="173"/>
      <c r="SU314" s="173"/>
      <c r="SV314" s="173"/>
      <c r="SW314" s="173"/>
      <c r="SX314" s="173"/>
      <c r="SY314" s="173"/>
      <c r="SZ314" s="173"/>
      <c r="TA314" s="173"/>
      <c r="TB314" s="173"/>
      <c r="TC314" s="173"/>
      <c r="TD314" s="173"/>
      <c r="TE314" s="173"/>
      <c r="TF314" s="173"/>
      <c r="TG314" s="173"/>
      <c r="TH314" s="173"/>
      <c r="TI314" s="173"/>
      <c r="TJ314" s="173"/>
      <c r="TK314" s="173"/>
      <c r="TL314" s="173"/>
      <c r="TM314" s="173"/>
      <c r="TN314" s="173"/>
      <c r="TO314" s="173"/>
      <c r="TP314" s="173"/>
      <c r="TQ314" s="173"/>
      <c r="TR314" s="173"/>
      <c r="TS314" s="173"/>
      <c r="TT314" s="173"/>
      <c r="TU314" s="173"/>
      <c r="TV314" s="173"/>
      <c r="TW314" s="173"/>
      <c r="TX314" s="173"/>
      <c r="TY314" s="173"/>
      <c r="TZ314" s="173"/>
      <c r="UA314" s="173"/>
      <c r="UB314" s="173"/>
      <c r="UC314" s="173"/>
      <c r="UD314" s="173"/>
      <c r="UE314" s="173"/>
      <c r="UF314" s="173"/>
      <c r="UG314" s="173"/>
      <c r="UH314" s="173"/>
      <c r="UI314" s="173"/>
      <c r="UJ314" s="173"/>
      <c r="UK314" s="173"/>
      <c r="UL314" s="173"/>
      <c r="UM314" s="173"/>
      <c r="UN314" s="173"/>
      <c r="UO314" s="173"/>
      <c r="UP314" s="173"/>
      <c r="UQ314" s="173"/>
      <c r="UR314" s="173"/>
      <c r="US314" s="173"/>
      <c r="UT314" s="173"/>
      <c r="UU314" s="173"/>
      <c r="UV314" s="173"/>
      <c r="UW314" s="173"/>
      <c r="UX314" s="173"/>
      <c r="UY314" s="173"/>
      <c r="UZ314" s="173"/>
      <c r="VA314" s="173"/>
      <c r="VB314" s="173"/>
      <c r="VC314" s="173"/>
      <c r="VD314" s="173"/>
      <c r="VE314" s="173"/>
      <c r="VF314" s="173"/>
      <c r="VG314" s="173"/>
      <c r="VH314" s="173"/>
      <c r="VI314" s="173"/>
      <c r="VJ314" s="173"/>
      <c r="VK314" s="173"/>
      <c r="VL314" s="173"/>
      <c r="VM314" s="173"/>
      <c r="VN314" s="173"/>
      <c r="VO314" s="173"/>
      <c r="VP314" s="173"/>
      <c r="VQ314" s="173"/>
      <c r="VR314" s="173"/>
      <c r="VS314" s="173"/>
      <c r="VT314" s="173"/>
      <c r="VU314" s="173"/>
      <c r="VV314" s="173"/>
      <c r="VW314" s="173"/>
      <c r="VX314" s="173"/>
      <c r="VY314" s="173"/>
      <c r="VZ314" s="173"/>
      <c r="WA314" s="173"/>
      <c r="WB314" s="173"/>
      <c r="WC314" s="173"/>
      <c r="WD314" s="173"/>
      <c r="WE314" s="173"/>
      <c r="WF314" s="173"/>
      <c r="WG314" s="173"/>
      <c r="WH314" s="173"/>
      <c r="WI314" s="173"/>
      <c r="WJ314" s="173"/>
      <c r="WK314" s="173"/>
      <c r="WL314" s="173"/>
      <c r="WM314" s="173"/>
      <c r="WN314" s="173"/>
      <c r="WO314" s="173"/>
      <c r="WP314" s="173"/>
    </row>
    <row r="315" spans="1:614">
      <c r="A315" s="174"/>
      <c r="B315" s="149" t="s">
        <v>74</v>
      </c>
      <c r="C315" s="151" t="s">
        <v>415</v>
      </c>
      <c r="D315" s="150" t="s">
        <v>2</v>
      </c>
      <c r="E315" s="173"/>
      <c r="G315" s="173"/>
      <c r="H315" s="173"/>
      <c r="I315" s="173"/>
      <c r="J315" s="173"/>
      <c r="K315" s="173"/>
      <c r="L315" s="173"/>
      <c r="M315" s="173"/>
      <c r="N315" s="173"/>
      <c r="O315" s="173"/>
      <c r="P315" s="173"/>
      <c r="Q315" s="173"/>
      <c r="R315" s="173"/>
      <c r="S315" s="173"/>
      <c r="T315" s="173"/>
      <c r="U315" s="173"/>
      <c r="V315" s="173"/>
      <c r="W315" s="173"/>
      <c r="X315" s="173"/>
      <c r="Y315" s="173"/>
      <c r="Z315" s="173"/>
      <c r="AA315" s="173"/>
      <c r="AB315" s="173"/>
      <c r="AC315" s="173"/>
      <c r="AD315" s="173"/>
      <c r="AE315" s="173"/>
      <c r="AF315" s="173"/>
      <c r="AG315" s="173"/>
      <c r="AH315" s="173"/>
      <c r="AI315" s="173"/>
      <c r="AJ315" s="173"/>
      <c r="AK315" s="173"/>
      <c r="AL315" s="173"/>
      <c r="AM315" s="173"/>
      <c r="AN315" s="173"/>
      <c r="AO315" s="173"/>
      <c r="AP315" s="173"/>
      <c r="AQ315" s="173"/>
      <c r="AR315" s="173"/>
      <c r="AS315" s="173"/>
      <c r="AT315" s="173"/>
      <c r="AU315" s="173"/>
      <c r="AV315" s="173"/>
      <c r="AW315" s="173"/>
      <c r="AX315" s="173"/>
      <c r="AY315" s="173"/>
      <c r="AZ315" s="173"/>
      <c r="BA315" s="173"/>
      <c r="BB315" s="173"/>
      <c r="BC315" s="173"/>
      <c r="BD315" s="173"/>
      <c r="BE315" s="173"/>
      <c r="BF315" s="173"/>
      <c r="BG315" s="173"/>
      <c r="BH315" s="173"/>
      <c r="BI315" s="173"/>
      <c r="BJ315" s="173"/>
      <c r="BK315" s="173"/>
      <c r="BL315" s="173"/>
      <c r="BM315" s="173"/>
      <c r="BN315" s="173"/>
      <c r="BO315" s="173"/>
      <c r="BP315" s="173"/>
      <c r="BQ315" s="173"/>
      <c r="BR315" s="173"/>
      <c r="BS315" s="173"/>
      <c r="BT315" s="173"/>
      <c r="BU315" s="173"/>
      <c r="BV315" s="173"/>
      <c r="BW315" s="173"/>
      <c r="BX315" s="173"/>
      <c r="BY315" s="173"/>
      <c r="BZ315" s="173"/>
      <c r="CA315" s="173"/>
      <c r="CB315" s="173"/>
      <c r="CC315" s="173"/>
      <c r="CD315" s="173"/>
      <c r="CE315" s="173"/>
      <c r="CF315" s="173"/>
      <c r="CG315" s="173"/>
      <c r="CH315" s="173"/>
      <c r="CI315" s="173"/>
      <c r="CJ315" s="173"/>
      <c r="CK315" s="173"/>
      <c r="CL315" s="173"/>
      <c r="CM315" s="173"/>
      <c r="CN315" s="173"/>
      <c r="CO315" s="173"/>
      <c r="CP315" s="173"/>
      <c r="CQ315" s="173"/>
      <c r="CR315" s="173"/>
      <c r="CS315" s="173"/>
      <c r="CT315" s="173"/>
      <c r="CU315" s="173"/>
      <c r="CV315" s="173"/>
      <c r="CW315" s="173"/>
      <c r="CX315" s="173"/>
      <c r="CY315" s="173"/>
      <c r="CZ315" s="173"/>
      <c r="DA315" s="173"/>
      <c r="DB315" s="173"/>
      <c r="DC315" s="173"/>
      <c r="DD315" s="173"/>
      <c r="DE315" s="173"/>
      <c r="DF315" s="173"/>
      <c r="DG315" s="173"/>
      <c r="DH315" s="173"/>
      <c r="DI315" s="173"/>
      <c r="DJ315" s="173"/>
      <c r="DK315" s="173"/>
      <c r="DL315" s="173"/>
      <c r="DM315" s="173"/>
      <c r="DN315" s="173"/>
      <c r="DO315" s="173"/>
      <c r="DP315" s="173"/>
      <c r="DQ315" s="173"/>
      <c r="DR315" s="173"/>
      <c r="DS315" s="173"/>
      <c r="DT315" s="173"/>
      <c r="DU315" s="173"/>
      <c r="DV315" s="173"/>
      <c r="DW315" s="173"/>
      <c r="DX315" s="173"/>
      <c r="DY315" s="173"/>
      <c r="DZ315" s="173"/>
      <c r="EA315" s="173"/>
      <c r="EB315" s="173"/>
      <c r="EC315" s="173"/>
      <c r="ED315" s="173"/>
      <c r="EE315" s="173"/>
      <c r="EF315" s="173"/>
      <c r="EG315" s="173"/>
      <c r="EH315" s="173"/>
      <c r="EI315" s="173"/>
      <c r="EJ315" s="173"/>
      <c r="EK315" s="173"/>
      <c r="EL315" s="173"/>
      <c r="EM315" s="173"/>
      <c r="EN315" s="173"/>
      <c r="EO315" s="173"/>
      <c r="EP315" s="173"/>
      <c r="EQ315" s="173"/>
      <c r="ER315" s="173"/>
      <c r="ES315" s="173"/>
      <c r="ET315" s="173"/>
      <c r="EU315" s="173"/>
      <c r="EV315" s="173"/>
      <c r="EW315" s="173"/>
      <c r="EX315" s="173"/>
      <c r="EY315" s="173"/>
      <c r="EZ315" s="173"/>
      <c r="FA315" s="173"/>
      <c r="FB315" s="173"/>
      <c r="FC315" s="173"/>
      <c r="FD315" s="173"/>
      <c r="FE315" s="173"/>
      <c r="FF315" s="173"/>
      <c r="FG315" s="173"/>
      <c r="FH315" s="173"/>
      <c r="FI315" s="173"/>
      <c r="FJ315" s="173"/>
      <c r="FK315" s="173"/>
      <c r="FL315" s="173"/>
      <c r="FM315" s="173"/>
      <c r="FN315" s="173"/>
      <c r="FO315" s="173"/>
      <c r="FP315" s="173"/>
      <c r="FQ315" s="173"/>
      <c r="FR315" s="173"/>
      <c r="FS315" s="173"/>
      <c r="FT315" s="173"/>
      <c r="FU315" s="173"/>
      <c r="FV315" s="173"/>
      <c r="FW315" s="173"/>
      <c r="FX315" s="173"/>
      <c r="FY315" s="173"/>
      <c r="FZ315" s="173"/>
      <c r="GA315" s="173"/>
      <c r="GB315" s="173"/>
      <c r="GC315" s="173"/>
      <c r="GD315" s="173"/>
      <c r="GE315" s="173"/>
      <c r="GF315" s="173"/>
      <c r="GG315" s="173"/>
      <c r="GH315" s="173"/>
      <c r="GI315" s="173"/>
      <c r="GJ315" s="173"/>
      <c r="GK315" s="173"/>
      <c r="GL315" s="173"/>
      <c r="GM315" s="173"/>
      <c r="GN315" s="173"/>
      <c r="GO315" s="173"/>
      <c r="GP315" s="173"/>
      <c r="GQ315" s="173"/>
      <c r="GR315" s="173"/>
      <c r="GS315" s="173"/>
      <c r="GT315" s="173"/>
      <c r="GU315" s="173"/>
      <c r="GV315" s="173"/>
      <c r="GW315" s="173"/>
      <c r="GX315" s="173"/>
      <c r="GY315" s="173"/>
      <c r="GZ315" s="173"/>
      <c r="HA315" s="173"/>
      <c r="HB315" s="173"/>
      <c r="HC315" s="173"/>
      <c r="HD315" s="173"/>
      <c r="HE315" s="173"/>
      <c r="HF315" s="173"/>
      <c r="HG315" s="173"/>
      <c r="HH315" s="173"/>
      <c r="HI315" s="173"/>
      <c r="HJ315" s="173"/>
      <c r="HK315" s="173"/>
      <c r="HL315" s="173"/>
      <c r="HM315" s="173"/>
      <c r="HN315" s="173"/>
      <c r="HO315" s="173"/>
      <c r="HP315" s="173"/>
      <c r="HQ315" s="173"/>
      <c r="HR315" s="173"/>
      <c r="HS315" s="173"/>
      <c r="HT315" s="173"/>
      <c r="HU315" s="173"/>
      <c r="HV315" s="173"/>
      <c r="HW315" s="173"/>
      <c r="HX315" s="173"/>
      <c r="HY315" s="173"/>
      <c r="HZ315" s="173"/>
      <c r="IA315" s="173"/>
      <c r="IB315" s="173"/>
      <c r="IC315" s="173"/>
      <c r="ID315" s="173"/>
      <c r="IE315" s="173"/>
      <c r="IF315" s="173"/>
      <c r="IG315" s="173"/>
      <c r="IH315" s="173"/>
      <c r="II315" s="173"/>
      <c r="IJ315" s="173"/>
      <c r="IK315" s="173"/>
      <c r="IL315" s="173"/>
      <c r="IM315" s="173"/>
      <c r="IN315" s="173"/>
      <c r="IO315" s="173"/>
      <c r="IP315" s="173"/>
      <c r="IQ315" s="173"/>
      <c r="IR315" s="173"/>
      <c r="IS315" s="173"/>
      <c r="IT315" s="173"/>
      <c r="IU315" s="173"/>
      <c r="IV315" s="173"/>
      <c r="IW315" s="173"/>
      <c r="IX315" s="173"/>
      <c r="IY315" s="173"/>
      <c r="IZ315" s="173"/>
      <c r="JA315" s="173"/>
      <c r="JB315" s="173"/>
      <c r="JC315" s="173"/>
      <c r="JD315" s="173"/>
      <c r="JE315" s="173"/>
      <c r="JF315" s="173"/>
      <c r="JG315" s="173"/>
      <c r="JH315" s="173"/>
      <c r="JI315" s="173"/>
      <c r="JJ315" s="173"/>
      <c r="JK315" s="173"/>
      <c r="JL315" s="173"/>
      <c r="JM315" s="173"/>
      <c r="JN315" s="173"/>
      <c r="JO315" s="173"/>
      <c r="JP315" s="173"/>
      <c r="JQ315" s="173"/>
      <c r="JR315" s="173"/>
      <c r="JS315" s="173"/>
      <c r="JT315" s="173"/>
      <c r="JU315" s="173"/>
      <c r="JV315" s="173"/>
      <c r="JW315" s="173"/>
      <c r="JX315" s="173"/>
      <c r="JY315" s="173"/>
      <c r="JZ315" s="173"/>
      <c r="KA315" s="173"/>
      <c r="KB315" s="173"/>
      <c r="KC315" s="173"/>
      <c r="KD315" s="173"/>
      <c r="KE315" s="173"/>
      <c r="KF315" s="173"/>
      <c r="KG315" s="173"/>
      <c r="KH315" s="173"/>
      <c r="KI315" s="173"/>
      <c r="KJ315" s="173"/>
      <c r="KK315" s="173"/>
      <c r="KL315" s="173"/>
      <c r="KM315" s="173"/>
      <c r="KN315" s="173"/>
      <c r="KO315" s="173"/>
      <c r="KP315" s="173"/>
      <c r="KQ315" s="173"/>
      <c r="KR315" s="173"/>
      <c r="KS315" s="173"/>
      <c r="KT315" s="173"/>
      <c r="KU315" s="173"/>
      <c r="KV315" s="173"/>
      <c r="KW315" s="173"/>
      <c r="KX315" s="173"/>
      <c r="KY315" s="173"/>
      <c r="KZ315" s="173"/>
      <c r="LA315" s="173"/>
      <c r="LB315" s="173"/>
      <c r="LC315" s="173"/>
      <c r="LD315" s="173"/>
      <c r="LE315" s="173"/>
      <c r="LF315" s="173"/>
      <c r="LG315" s="173"/>
      <c r="LH315" s="173"/>
      <c r="LI315" s="173"/>
      <c r="LJ315" s="173"/>
      <c r="LK315" s="173"/>
      <c r="LL315" s="173"/>
      <c r="LM315" s="173"/>
      <c r="LN315" s="173"/>
      <c r="LO315" s="173"/>
      <c r="LP315" s="173"/>
      <c r="LQ315" s="173"/>
      <c r="LR315" s="173"/>
      <c r="LS315" s="173"/>
      <c r="LT315" s="173"/>
      <c r="LU315" s="173"/>
      <c r="LV315" s="173"/>
      <c r="LW315" s="173"/>
      <c r="LX315" s="173"/>
      <c r="LY315" s="173"/>
      <c r="LZ315" s="173"/>
      <c r="MA315" s="173"/>
      <c r="MB315" s="173"/>
      <c r="MC315" s="173"/>
      <c r="MD315" s="173"/>
      <c r="ME315" s="173"/>
      <c r="MF315" s="173"/>
      <c r="MG315" s="173"/>
      <c r="MH315" s="173"/>
      <c r="MI315" s="173"/>
      <c r="MJ315" s="173"/>
      <c r="MK315" s="173"/>
      <c r="ML315" s="173"/>
      <c r="MM315" s="173"/>
      <c r="MN315" s="173"/>
      <c r="MO315" s="173"/>
      <c r="MP315" s="173"/>
      <c r="MQ315" s="173"/>
      <c r="MR315" s="173"/>
      <c r="MS315" s="173"/>
      <c r="MT315" s="173"/>
      <c r="MU315" s="173"/>
      <c r="MV315" s="173"/>
      <c r="MW315" s="173"/>
      <c r="MX315" s="173"/>
      <c r="MY315" s="173"/>
      <c r="MZ315" s="173"/>
      <c r="NA315" s="173"/>
      <c r="NB315" s="173"/>
      <c r="NC315" s="173"/>
      <c r="ND315" s="173"/>
      <c r="NE315" s="173"/>
      <c r="NF315" s="173"/>
      <c r="NG315" s="173"/>
      <c r="NH315" s="173"/>
      <c r="NI315" s="173"/>
      <c r="NJ315" s="173"/>
      <c r="NK315" s="173"/>
      <c r="NL315" s="173"/>
      <c r="NM315" s="173"/>
      <c r="NN315" s="173"/>
      <c r="NO315" s="173"/>
      <c r="NP315" s="173"/>
      <c r="NQ315" s="173"/>
      <c r="NR315" s="173"/>
      <c r="NS315" s="173"/>
      <c r="NT315" s="173"/>
      <c r="NU315" s="173"/>
      <c r="NV315" s="173"/>
      <c r="NW315" s="173"/>
      <c r="NX315" s="173"/>
      <c r="NY315" s="173"/>
      <c r="NZ315" s="173"/>
      <c r="OA315" s="173"/>
      <c r="OB315" s="173"/>
      <c r="OC315" s="173"/>
      <c r="OD315" s="173"/>
      <c r="OE315" s="173"/>
      <c r="OF315" s="173"/>
      <c r="OG315" s="173"/>
      <c r="OH315" s="173"/>
      <c r="OI315" s="173"/>
      <c r="OJ315" s="173"/>
      <c r="OK315" s="173"/>
      <c r="OL315" s="173"/>
      <c r="OM315" s="173"/>
      <c r="ON315" s="173"/>
      <c r="OO315" s="173"/>
      <c r="OP315" s="173"/>
      <c r="OQ315" s="173"/>
      <c r="OR315" s="173"/>
      <c r="OS315" s="173"/>
      <c r="OT315" s="173"/>
      <c r="OU315" s="173"/>
      <c r="OV315" s="173"/>
      <c r="OW315" s="173"/>
      <c r="OX315" s="173"/>
      <c r="OY315" s="173"/>
      <c r="OZ315" s="173"/>
      <c r="PA315" s="173"/>
      <c r="PB315" s="173"/>
      <c r="PC315" s="173"/>
      <c r="PD315" s="173"/>
      <c r="PE315" s="173"/>
      <c r="PF315" s="173"/>
      <c r="PG315" s="173"/>
      <c r="PH315" s="173"/>
      <c r="PI315" s="173"/>
      <c r="PJ315" s="173"/>
      <c r="PK315" s="173"/>
      <c r="PL315" s="173"/>
      <c r="PM315" s="173"/>
      <c r="PN315" s="173"/>
      <c r="PO315" s="173"/>
      <c r="PP315" s="173"/>
      <c r="PQ315" s="173"/>
      <c r="PR315" s="173"/>
      <c r="PS315" s="173"/>
      <c r="PT315" s="173"/>
      <c r="PU315" s="173"/>
      <c r="PV315" s="173"/>
      <c r="PW315" s="173"/>
      <c r="PX315" s="173"/>
      <c r="PY315" s="173"/>
      <c r="PZ315" s="173"/>
      <c r="QA315" s="173"/>
      <c r="QB315" s="173"/>
      <c r="QC315" s="173"/>
      <c r="QD315" s="173"/>
      <c r="QE315" s="173"/>
      <c r="QF315" s="173"/>
      <c r="QG315" s="173"/>
      <c r="QH315" s="173"/>
      <c r="QI315" s="173"/>
      <c r="QJ315" s="173"/>
      <c r="QK315" s="173"/>
      <c r="QL315" s="173"/>
      <c r="QM315" s="173"/>
      <c r="QN315" s="173"/>
      <c r="QO315" s="173"/>
      <c r="QP315" s="173"/>
      <c r="QQ315" s="173"/>
      <c r="QR315" s="173"/>
      <c r="QS315" s="173"/>
      <c r="QT315" s="173"/>
      <c r="QU315" s="173"/>
      <c r="QV315" s="173"/>
      <c r="QW315" s="173"/>
      <c r="QX315" s="173"/>
      <c r="QY315" s="173"/>
      <c r="QZ315" s="173"/>
      <c r="RA315" s="173"/>
      <c r="RB315" s="173"/>
      <c r="RC315" s="173"/>
      <c r="RD315" s="173"/>
      <c r="RE315" s="173"/>
      <c r="RF315" s="173"/>
      <c r="RG315" s="173"/>
      <c r="RH315" s="173"/>
      <c r="RI315" s="173"/>
      <c r="RJ315" s="173"/>
      <c r="RK315" s="173"/>
      <c r="RL315" s="173"/>
      <c r="RM315" s="173"/>
      <c r="RN315" s="173"/>
      <c r="RO315" s="173"/>
      <c r="RP315" s="173"/>
      <c r="RQ315" s="173"/>
      <c r="RR315" s="173"/>
      <c r="RS315" s="173"/>
      <c r="RT315" s="173"/>
      <c r="RU315" s="173"/>
      <c r="RV315" s="173"/>
      <c r="RW315" s="173"/>
      <c r="RX315" s="173"/>
      <c r="RY315" s="173"/>
      <c r="RZ315" s="173"/>
      <c r="SA315" s="173"/>
      <c r="SB315" s="173"/>
      <c r="SC315" s="173"/>
      <c r="SD315" s="173"/>
      <c r="SE315" s="173"/>
      <c r="SF315" s="173"/>
      <c r="SG315" s="173"/>
      <c r="SH315" s="173"/>
      <c r="SI315" s="173"/>
      <c r="SJ315" s="173"/>
      <c r="SK315" s="173"/>
      <c r="SL315" s="173"/>
      <c r="SM315" s="173"/>
      <c r="SN315" s="173"/>
      <c r="SO315" s="173"/>
      <c r="SP315" s="173"/>
      <c r="SQ315" s="173"/>
      <c r="SR315" s="173"/>
      <c r="SS315" s="173"/>
      <c r="ST315" s="173"/>
      <c r="SU315" s="173"/>
      <c r="SV315" s="173"/>
      <c r="SW315" s="173"/>
      <c r="SX315" s="173"/>
      <c r="SY315" s="173"/>
      <c r="SZ315" s="173"/>
      <c r="TA315" s="173"/>
      <c r="TB315" s="173"/>
      <c r="TC315" s="173"/>
      <c r="TD315" s="173"/>
      <c r="TE315" s="173"/>
      <c r="TF315" s="173"/>
      <c r="TG315" s="173"/>
      <c r="TH315" s="173"/>
      <c r="TI315" s="173"/>
      <c r="TJ315" s="173"/>
      <c r="TK315" s="173"/>
      <c r="TL315" s="173"/>
      <c r="TM315" s="173"/>
      <c r="TN315" s="173"/>
      <c r="TO315" s="173"/>
      <c r="TP315" s="173"/>
      <c r="TQ315" s="173"/>
      <c r="TR315" s="173"/>
      <c r="TS315" s="173"/>
      <c r="TT315" s="173"/>
      <c r="TU315" s="173"/>
      <c r="TV315" s="173"/>
      <c r="TW315" s="173"/>
      <c r="TX315" s="173"/>
      <c r="TY315" s="173"/>
      <c r="TZ315" s="173"/>
      <c r="UA315" s="173"/>
      <c r="UB315" s="173"/>
      <c r="UC315" s="173"/>
      <c r="UD315" s="173"/>
      <c r="UE315" s="173"/>
      <c r="UF315" s="173"/>
      <c r="UG315" s="173"/>
      <c r="UH315" s="173"/>
      <c r="UI315" s="173"/>
      <c r="UJ315" s="173"/>
      <c r="UK315" s="173"/>
      <c r="UL315" s="173"/>
      <c r="UM315" s="173"/>
      <c r="UN315" s="173"/>
      <c r="UO315" s="173"/>
      <c r="UP315" s="173"/>
      <c r="UQ315" s="173"/>
      <c r="UR315" s="173"/>
      <c r="US315" s="173"/>
      <c r="UT315" s="173"/>
      <c r="UU315" s="173"/>
      <c r="UV315" s="173"/>
      <c r="UW315" s="173"/>
      <c r="UX315" s="173"/>
      <c r="UY315" s="173"/>
      <c r="UZ315" s="173"/>
      <c r="VA315" s="173"/>
      <c r="VB315" s="173"/>
      <c r="VC315" s="173"/>
      <c r="VD315" s="173"/>
      <c r="VE315" s="173"/>
      <c r="VF315" s="173"/>
      <c r="VG315" s="173"/>
      <c r="VH315" s="173"/>
      <c r="VI315" s="173"/>
      <c r="VJ315" s="173"/>
      <c r="VK315" s="173"/>
      <c r="VL315" s="173"/>
      <c r="VM315" s="173"/>
      <c r="VN315" s="173"/>
      <c r="VO315" s="173"/>
      <c r="VP315" s="173"/>
      <c r="VQ315" s="173"/>
      <c r="VR315" s="173"/>
      <c r="VS315" s="173"/>
      <c r="VT315" s="173"/>
      <c r="VU315" s="173"/>
      <c r="VV315" s="173"/>
      <c r="VW315" s="173"/>
      <c r="VX315" s="173"/>
      <c r="VY315" s="173"/>
      <c r="VZ315" s="173"/>
      <c r="WA315" s="173"/>
      <c r="WB315" s="173"/>
      <c r="WC315" s="173"/>
      <c r="WD315" s="173"/>
      <c r="WE315" s="173"/>
      <c r="WF315" s="173"/>
      <c r="WG315" s="173"/>
      <c r="WH315" s="173"/>
      <c r="WI315" s="173"/>
      <c r="WJ315" s="173"/>
      <c r="WK315" s="173"/>
      <c r="WL315" s="173"/>
      <c r="WM315" s="173"/>
      <c r="WN315" s="173"/>
      <c r="WO315" s="173"/>
      <c r="WP315" s="173"/>
    </row>
    <row r="316" spans="1:614">
      <c r="A316" s="173"/>
      <c r="B316" s="133" t="str">
        <f>Comb_scrd[[#Headers],[Cisco FirePOWER 8350]]</f>
        <v>Cisco FirePOWER 8350</v>
      </c>
      <c r="C316" s="178">
        <f>VLOOKUP(IPS_Security_table9[[#This Row],[Product]],Perf_table1[#All],2,FALSE)</f>
        <v>18532.8</v>
      </c>
      <c r="D316" s="179">
        <f>VLOOKUP(IPS_Security_table9[[#This Row],[Product]],IPS_security_table8[#All],5,FALSE)</f>
        <v>0.99518408324552166</v>
      </c>
      <c r="E316" s="173"/>
      <c r="G316" s="173"/>
      <c r="H316" s="173"/>
      <c r="I316" s="173"/>
      <c r="J316" s="173"/>
      <c r="K316" s="173"/>
      <c r="L316" s="173"/>
      <c r="M316" s="173"/>
      <c r="N316" s="173"/>
      <c r="O316" s="173"/>
      <c r="P316" s="173"/>
      <c r="Q316" s="173"/>
      <c r="R316" s="173"/>
      <c r="S316" s="173"/>
      <c r="T316" s="173"/>
      <c r="U316" s="173"/>
      <c r="V316" s="173"/>
      <c r="W316" s="173"/>
      <c r="X316" s="173"/>
      <c r="Y316" s="173"/>
      <c r="Z316" s="173"/>
      <c r="AA316" s="173"/>
      <c r="AB316" s="173"/>
      <c r="AC316" s="173"/>
      <c r="AD316" s="173"/>
      <c r="AE316" s="173"/>
      <c r="AF316" s="173"/>
      <c r="AG316" s="173"/>
      <c r="AH316" s="173"/>
      <c r="AI316" s="173"/>
      <c r="AJ316" s="173"/>
      <c r="AK316" s="173"/>
      <c r="AL316" s="173"/>
      <c r="AM316" s="173"/>
      <c r="AN316" s="173"/>
      <c r="AO316" s="173"/>
      <c r="AP316" s="173"/>
      <c r="AQ316" s="173"/>
      <c r="AR316" s="173"/>
      <c r="AS316" s="173"/>
      <c r="AT316" s="173"/>
      <c r="AU316" s="173"/>
      <c r="AV316" s="173"/>
      <c r="AW316" s="173"/>
      <c r="AX316" s="173"/>
      <c r="AY316" s="173"/>
      <c r="AZ316" s="173"/>
      <c r="BA316" s="173"/>
      <c r="BB316" s="173"/>
      <c r="BC316" s="173"/>
      <c r="BD316" s="173"/>
      <c r="BE316" s="173"/>
      <c r="BF316" s="173"/>
      <c r="BG316" s="173"/>
      <c r="BH316" s="173"/>
      <c r="BI316" s="173"/>
      <c r="BJ316" s="173"/>
      <c r="BK316" s="173"/>
      <c r="BL316" s="173"/>
      <c r="BM316" s="173"/>
      <c r="BN316" s="173"/>
      <c r="BO316" s="173"/>
      <c r="BP316" s="173"/>
      <c r="BQ316" s="173"/>
      <c r="BR316" s="173"/>
      <c r="BS316" s="173"/>
      <c r="BT316" s="173"/>
      <c r="BU316" s="173"/>
      <c r="BV316" s="173"/>
      <c r="BW316" s="173"/>
      <c r="BX316" s="173"/>
      <c r="BY316" s="173"/>
      <c r="BZ316" s="173"/>
      <c r="CA316" s="173"/>
      <c r="CB316" s="173"/>
      <c r="CC316" s="173"/>
      <c r="CD316" s="173"/>
      <c r="CE316" s="173"/>
      <c r="CF316" s="173"/>
      <c r="CG316" s="173"/>
      <c r="CH316" s="173"/>
      <c r="CI316" s="173"/>
      <c r="CJ316" s="173"/>
      <c r="CK316" s="173"/>
      <c r="CL316" s="173"/>
      <c r="CM316" s="173"/>
      <c r="CN316" s="173"/>
      <c r="CO316" s="173"/>
      <c r="CP316" s="173"/>
      <c r="CQ316" s="173"/>
      <c r="CR316" s="173"/>
      <c r="CS316" s="173"/>
      <c r="CT316" s="173"/>
      <c r="CU316" s="173"/>
      <c r="CV316" s="173"/>
      <c r="CW316" s="173"/>
      <c r="CX316" s="173"/>
      <c r="CY316" s="173"/>
      <c r="CZ316" s="173"/>
      <c r="DA316" s="173"/>
      <c r="DB316" s="173"/>
      <c r="DC316" s="173"/>
      <c r="DD316" s="173"/>
      <c r="DE316" s="173"/>
      <c r="DF316" s="173"/>
      <c r="DG316" s="173"/>
      <c r="DH316" s="173"/>
      <c r="DI316" s="173"/>
      <c r="DJ316" s="173"/>
      <c r="DK316" s="173"/>
      <c r="DL316" s="173"/>
      <c r="DM316" s="173"/>
      <c r="DN316" s="173"/>
      <c r="DO316" s="173"/>
      <c r="DP316" s="173"/>
      <c r="DQ316" s="173"/>
      <c r="DR316" s="173"/>
      <c r="DS316" s="173"/>
      <c r="DT316" s="173"/>
      <c r="DU316" s="173"/>
      <c r="DV316" s="173"/>
      <c r="DW316" s="173"/>
      <c r="DX316" s="173"/>
      <c r="DY316" s="173"/>
      <c r="DZ316" s="173"/>
      <c r="EA316" s="173"/>
      <c r="EB316" s="173"/>
      <c r="EC316" s="173"/>
      <c r="ED316" s="173"/>
      <c r="EE316" s="173"/>
      <c r="EF316" s="173"/>
      <c r="EG316" s="173"/>
      <c r="EH316" s="173"/>
      <c r="EI316" s="173"/>
      <c r="EJ316" s="173"/>
      <c r="EK316" s="173"/>
      <c r="EL316" s="173"/>
      <c r="EM316" s="173"/>
      <c r="EN316" s="173"/>
      <c r="EO316" s="173"/>
      <c r="EP316" s="173"/>
      <c r="EQ316" s="173"/>
      <c r="ER316" s="173"/>
      <c r="ES316" s="173"/>
      <c r="ET316" s="173"/>
      <c r="EU316" s="173"/>
      <c r="EV316" s="173"/>
      <c r="EW316" s="173"/>
      <c r="EX316" s="173"/>
      <c r="EY316" s="173"/>
      <c r="EZ316" s="173"/>
      <c r="FA316" s="173"/>
      <c r="FB316" s="173"/>
      <c r="FC316" s="173"/>
      <c r="FD316" s="173"/>
      <c r="FE316" s="173"/>
      <c r="FF316" s="173"/>
      <c r="FG316" s="173"/>
      <c r="FH316" s="173"/>
      <c r="FI316" s="173"/>
      <c r="FJ316" s="173"/>
      <c r="FK316" s="173"/>
      <c r="FL316" s="173"/>
      <c r="FM316" s="173"/>
      <c r="FN316" s="173"/>
      <c r="FO316" s="173"/>
      <c r="FP316" s="173"/>
      <c r="FQ316" s="173"/>
      <c r="FR316" s="173"/>
      <c r="FS316" s="173"/>
      <c r="FT316" s="173"/>
      <c r="FU316" s="173"/>
      <c r="FV316" s="173"/>
      <c r="FW316" s="173"/>
      <c r="FX316" s="173"/>
      <c r="FY316" s="173"/>
      <c r="FZ316" s="173"/>
      <c r="GA316" s="173"/>
      <c r="GB316" s="173"/>
      <c r="GC316" s="173"/>
      <c r="GD316" s="173"/>
      <c r="GE316" s="173"/>
      <c r="GF316" s="173"/>
      <c r="GG316" s="173"/>
      <c r="GH316" s="173"/>
      <c r="GI316" s="173"/>
      <c r="GJ316" s="173"/>
      <c r="GK316" s="173"/>
      <c r="GL316" s="173"/>
      <c r="GM316" s="173"/>
      <c r="GN316" s="173"/>
      <c r="GO316" s="173"/>
      <c r="GP316" s="173"/>
      <c r="GQ316" s="173"/>
      <c r="GR316" s="173"/>
      <c r="GS316" s="173"/>
      <c r="GT316" s="173"/>
      <c r="GU316" s="173"/>
      <c r="GV316" s="173"/>
      <c r="GW316" s="173"/>
      <c r="GX316" s="173"/>
      <c r="GY316" s="173"/>
      <c r="GZ316" s="173"/>
      <c r="HA316" s="173"/>
      <c r="HB316" s="173"/>
      <c r="HC316" s="173"/>
      <c r="HD316" s="173"/>
      <c r="HE316" s="173"/>
      <c r="HF316" s="173"/>
      <c r="HG316" s="173"/>
      <c r="HH316" s="173"/>
      <c r="HI316" s="173"/>
      <c r="HJ316" s="173"/>
      <c r="HK316" s="173"/>
      <c r="HL316" s="173"/>
      <c r="HM316" s="173"/>
      <c r="HN316" s="173"/>
      <c r="HO316" s="173"/>
      <c r="HP316" s="173"/>
      <c r="HQ316" s="173"/>
      <c r="HR316" s="173"/>
      <c r="HS316" s="173"/>
      <c r="HT316" s="173"/>
      <c r="HU316" s="173"/>
      <c r="HV316" s="173"/>
      <c r="HW316" s="173"/>
      <c r="HX316" s="173"/>
      <c r="HY316" s="173"/>
      <c r="HZ316" s="173"/>
      <c r="IA316" s="173"/>
      <c r="IB316" s="173"/>
      <c r="IC316" s="173"/>
      <c r="ID316" s="173"/>
      <c r="IE316" s="173"/>
      <c r="IF316" s="173"/>
      <c r="IG316" s="173"/>
      <c r="IH316" s="173"/>
      <c r="II316" s="173"/>
      <c r="IJ316" s="173"/>
      <c r="IK316" s="173"/>
      <c r="IL316" s="173"/>
      <c r="IM316" s="173"/>
      <c r="IN316" s="173"/>
      <c r="IO316" s="173"/>
      <c r="IP316" s="173"/>
      <c r="IQ316" s="173"/>
      <c r="IR316" s="173"/>
      <c r="IS316" s="173"/>
      <c r="IT316" s="173"/>
      <c r="IU316" s="173"/>
      <c r="IV316" s="173"/>
      <c r="IW316" s="173"/>
      <c r="IX316" s="173"/>
      <c r="IY316" s="173"/>
      <c r="IZ316" s="173"/>
      <c r="JA316" s="173"/>
      <c r="JB316" s="173"/>
      <c r="JC316" s="173"/>
      <c r="JD316" s="173"/>
      <c r="JE316" s="173"/>
      <c r="JF316" s="173"/>
      <c r="JG316" s="173"/>
      <c r="JH316" s="173"/>
      <c r="JI316" s="173"/>
      <c r="JJ316" s="173"/>
      <c r="JK316" s="173"/>
      <c r="JL316" s="173"/>
      <c r="JM316" s="173"/>
      <c r="JN316" s="173"/>
      <c r="JO316" s="173"/>
      <c r="JP316" s="173"/>
      <c r="JQ316" s="173"/>
      <c r="JR316" s="173"/>
      <c r="JS316" s="173"/>
      <c r="JT316" s="173"/>
      <c r="JU316" s="173"/>
      <c r="JV316" s="173"/>
      <c r="JW316" s="173"/>
      <c r="JX316" s="173"/>
      <c r="JY316" s="173"/>
      <c r="JZ316" s="173"/>
      <c r="KA316" s="173"/>
      <c r="KB316" s="173"/>
      <c r="KC316" s="173"/>
      <c r="KD316" s="173"/>
      <c r="KE316" s="173"/>
      <c r="KF316" s="173"/>
      <c r="KG316" s="173"/>
      <c r="KH316" s="173"/>
      <c r="KI316" s="173"/>
      <c r="KJ316" s="173"/>
      <c r="KK316" s="173"/>
      <c r="KL316" s="173"/>
      <c r="KM316" s="173"/>
      <c r="KN316" s="173"/>
      <c r="KO316" s="173"/>
      <c r="KP316" s="173"/>
      <c r="KQ316" s="173"/>
      <c r="KR316" s="173"/>
      <c r="KS316" s="173"/>
      <c r="KT316" s="173"/>
      <c r="KU316" s="173"/>
      <c r="KV316" s="173"/>
      <c r="KW316" s="173"/>
      <c r="KX316" s="173"/>
      <c r="KY316" s="173"/>
      <c r="KZ316" s="173"/>
      <c r="LA316" s="173"/>
      <c r="LB316" s="173"/>
      <c r="LC316" s="173"/>
      <c r="LD316" s="173"/>
      <c r="LE316" s="173"/>
      <c r="LF316" s="173"/>
      <c r="LG316" s="173"/>
      <c r="LH316" s="173"/>
      <c r="LI316" s="173"/>
      <c r="LJ316" s="173"/>
      <c r="LK316" s="173"/>
      <c r="LL316" s="173"/>
      <c r="LM316" s="173"/>
      <c r="LN316" s="173"/>
      <c r="LO316" s="173"/>
      <c r="LP316" s="173"/>
      <c r="LQ316" s="173"/>
      <c r="LR316" s="173"/>
      <c r="LS316" s="173"/>
      <c r="LT316" s="173"/>
      <c r="LU316" s="173"/>
      <c r="LV316" s="173"/>
      <c r="LW316" s="173"/>
      <c r="LX316" s="173"/>
      <c r="LY316" s="173"/>
      <c r="LZ316" s="173"/>
      <c r="MA316" s="173"/>
      <c r="MB316" s="173"/>
      <c r="MC316" s="173"/>
      <c r="MD316" s="173"/>
      <c r="ME316" s="173"/>
      <c r="MF316" s="173"/>
      <c r="MG316" s="173"/>
      <c r="MH316" s="173"/>
      <c r="MI316" s="173"/>
      <c r="MJ316" s="173"/>
      <c r="MK316" s="173"/>
      <c r="ML316" s="173"/>
      <c r="MM316" s="173"/>
      <c r="MN316" s="173"/>
      <c r="MO316" s="173"/>
      <c r="MP316" s="173"/>
      <c r="MQ316" s="173"/>
      <c r="MR316" s="173"/>
      <c r="MS316" s="173"/>
      <c r="MT316" s="173"/>
      <c r="MU316" s="173"/>
      <c r="MV316" s="173"/>
      <c r="MW316" s="173"/>
      <c r="MX316" s="173"/>
      <c r="MY316" s="173"/>
      <c r="MZ316" s="173"/>
      <c r="NA316" s="173"/>
      <c r="NB316" s="173"/>
      <c r="NC316" s="173"/>
      <c r="ND316" s="173"/>
      <c r="NE316" s="173"/>
      <c r="NF316" s="173"/>
      <c r="NG316" s="173"/>
      <c r="NH316" s="173"/>
      <c r="NI316" s="173"/>
      <c r="NJ316" s="173"/>
      <c r="NK316" s="173"/>
      <c r="NL316" s="173"/>
      <c r="NM316" s="173"/>
      <c r="NN316" s="173"/>
      <c r="NO316" s="173"/>
      <c r="NP316" s="173"/>
      <c r="NQ316" s="173"/>
      <c r="NR316" s="173"/>
      <c r="NS316" s="173"/>
      <c r="NT316" s="173"/>
      <c r="NU316" s="173"/>
      <c r="NV316" s="173"/>
      <c r="NW316" s="173"/>
      <c r="NX316" s="173"/>
      <c r="NY316" s="173"/>
      <c r="NZ316" s="173"/>
      <c r="OA316" s="173"/>
      <c r="OB316" s="173"/>
      <c r="OC316" s="173"/>
      <c r="OD316" s="173"/>
      <c r="OE316" s="173"/>
      <c r="OF316" s="173"/>
      <c r="OG316" s="173"/>
      <c r="OH316" s="173"/>
      <c r="OI316" s="173"/>
      <c r="OJ316" s="173"/>
      <c r="OK316" s="173"/>
      <c r="OL316" s="173"/>
      <c r="OM316" s="173"/>
      <c r="ON316" s="173"/>
      <c r="OO316" s="173"/>
      <c r="OP316" s="173"/>
      <c r="OQ316" s="173"/>
      <c r="OR316" s="173"/>
      <c r="OS316" s="173"/>
      <c r="OT316" s="173"/>
      <c r="OU316" s="173"/>
      <c r="OV316" s="173"/>
      <c r="OW316" s="173"/>
      <c r="OX316" s="173"/>
      <c r="OY316" s="173"/>
      <c r="OZ316" s="173"/>
      <c r="PA316" s="173"/>
      <c r="PB316" s="173"/>
      <c r="PC316" s="173"/>
      <c r="PD316" s="173"/>
      <c r="PE316" s="173"/>
      <c r="PF316" s="173"/>
      <c r="PG316" s="173"/>
      <c r="PH316" s="173"/>
      <c r="PI316" s="173"/>
      <c r="PJ316" s="173"/>
      <c r="PK316" s="173"/>
      <c r="PL316" s="173"/>
      <c r="PM316" s="173"/>
      <c r="PN316" s="173"/>
      <c r="PO316" s="173"/>
      <c r="PP316" s="173"/>
      <c r="PQ316" s="173"/>
      <c r="PR316" s="173"/>
      <c r="PS316" s="173"/>
      <c r="PT316" s="173"/>
      <c r="PU316" s="173"/>
      <c r="PV316" s="173"/>
      <c r="PW316" s="173"/>
      <c r="PX316" s="173"/>
      <c r="PY316" s="173"/>
      <c r="PZ316" s="173"/>
      <c r="QA316" s="173"/>
      <c r="QB316" s="173"/>
      <c r="QC316" s="173"/>
      <c r="QD316" s="173"/>
      <c r="QE316" s="173"/>
      <c r="QF316" s="173"/>
      <c r="QG316" s="173"/>
      <c r="QH316" s="173"/>
      <c r="QI316" s="173"/>
      <c r="QJ316" s="173"/>
      <c r="QK316" s="173"/>
      <c r="QL316" s="173"/>
      <c r="QM316" s="173"/>
      <c r="QN316" s="173"/>
      <c r="QO316" s="173"/>
      <c r="QP316" s="173"/>
      <c r="QQ316" s="173"/>
      <c r="QR316" s="173"/>
      <c r="QS316" s="173"/>
      <c r="QT316" s="173"/>
      <c r="QU316" s="173"/>
      <c r="QV316" s="173"/>
      <c r="QW316" s="173"/>
      <c r="QX316" s="173"/>
      <c r="QY316" s="173"/>
      <c r="QZ316" s="173"/>
      <c r="RA316" s="173"/>
      <c r="RB316" s="173"/>
      <c r="RC316" s="173"/>
      <c r="RD316" s="173"/>
      <c r="RE316" s="173"/>
      <c r="RF316" s="173"/>
      <c r="RG316" s="173"/>
      <c r="RH316" s="173"/>
      <c r="RI316" s="173"/>
      <c r="RJ316" s="173"/>
      <c r="RK316" s="173"/>
      <c r="RL316" s="173"/>
      <c r="RM316" s="173"/>
      <c r="RN316" s="173"/>
      <c r="RO316" s="173"/>
      <c r="RP316" s="173"/>
      <c r="RQ316" s="173"/>
      <c r="RR316" s="173"/>
      <c r="RS316" s="173"/>
      <c r="RT316" s="173"/>
      <c r="RU316" s="173"/>
      <c r="RV316" s="173"/>
      <c r="RW316" s="173"/>
      <c r="RX316" s="173"/>
      <c r="RY316" s="173"/>
      <c r="RZ316" s="173"/>
      <c r="SA316" s="173"/>
      <c r="SB316" s="173"/>
      <c r="SC316" s="173"/>
      <c r="SD316" s="173"/>
      <c r="SE316" s="173"/>
      <c r="SF316" s="173"/>
      <c r="SG316" s="173"/>
      <c r="SH316" s="173"/>
      <c r="SI316" s="173"/>
      <c r="SJ316" s="173"/>
      <c r="SK316" s="173"/>
      <c r="SL316" s="173"/>
      <c r="SM316" s="173"/>
      <c r="SN316" s="173"/>
      <c r="SO316" s="173"/>
      <c r="SP316" s="173"/>
      <c r="SQ316" s="173"/>
      <c r="SR316" s="173"/>
      <c r="SS316" s="173"/>
      <c r="ST316" s="173"/>
      <c r="SU316" s="173"/>
      <c r="SV316" s="173"/>
      <c r="SW316" s="173"/>
      <c r="SX316" s="173"/>
      <c r="SY316" s="173"/>
      <c r="SZ316" s="173"/>
      <c r="TA316" s="173"/>
      <c r="TB316" s="173"/>
      <c r="TC316" s="173"/>
      <c r="TD316" s="173"/>
      <c r="TE316" s="173"/>
      <c r="TF316" s="173"/>
      <c r="TG316" s="173"/>
      <c r="TH316" s="173"/>
      <c r="TI316" s="173"/>
      <c r="TJ316" s="173"/>
      <c r="TK316" s="173"/>
      <c r="TL316" s="173"/>
      <c r="TM316" s="173"/>
      <c r="TN316" s="173"/>
      <c r="TO316" s="173"/>
      <c r="TP316" s="173"/>
      <c r="TQ316" s="173"/>
      <c r="TR316" s="173"/>
      <c r="TS316" s="173"/>
      <c r="TT316" s="173"/>
      <c r="TU316" s="173"/>
      <c r="TV316" s="173"/>
      <c r="TW316" s="173"/>
      <c r="TX316" s="173"/>
      <c r="TY316" s="173"/>
      <c r="TZ316" s="173"/>
      <c r="UA316" s="173"/>
      <c r="UB316" s="173"/>
      <c r="UC316" s="173"/>
      <c r="UD316" s="173"/>
      <c r="UE316" s="173"/>
      <c r="UF316" s="173"/>
      <c r="UG316" s="173"/>
      <c r="UH316" s="173"/>
      <c r="UI316" s="173"/>
      <c r="UJ316" s="173"/>
      <c r="UK316" s="173"/>
      <c r="UL316" s="173"/>
      <c r="UM316" s="173"/>
      <c r="UN316" s="173"/>
      <c r="UO316" s="173"/>
      <c r="UP316" s="173"/>
      <c r="UQ316" s="173"/>
      <c r="UR316" s="173"/>
      <c r="US316" s="173"/>
      <c r="UT316" s="173"/>
      <c r="UU316" s="173"/>
      <c r="UV316" s="173"/>
      <c r="UW316" s="173"/>
      <c r="UX316" s="173"/>
      <c r="UY316" s="173"/>
      <c r="UZ316" s="173"/>
      <c r="VA316" s="173"/>
      <c r="VB316" s="173"/>
      <c r="VC316" s="173"/>
      <c r="VD316" s="173"/>
      <c r="VE316" s="173"/>
      <c r="VF316" s="173"/>
      <c r="VG316" s="173"/>
      <c r="VH316" s="173"/>
      <c r="VI316" s="173"/>
      <c r="VJ316" s="173"/>
      <c r="VK316" s="173"/>
      <c r="VL316" s="173"/>
      <c r="VM316" s="173"/>
      <c r="VN316" s="173"/>
      <c r="VO316" s="173"/>
      <c r="VP316" s="173"/>
      <c r="VQ316" s="173"/>
      <c r="VR316" s="173"/>
      <c r="VS316" s="173"/>
      <c r="VT316" s="173"/>
      <c r="VU316" s="173"/>
      <c r="VV316" s="173"/>
      <c r="VW316" s="173"/>
      <c r="VX316" s="173"/>
      <c r="VY316" s="173"/>
      <c r="VZ316" s="173"/>
      <c r="WA316" s="173"/>
      <c r="WB316" s="173"/>
      <c r="WC316" s="173"/>
      <c r="WD316" s="173"/>
      <c r="WE316" s="173"/>
      <c r="WF316" s="173"/>
      <c r="WG316" s="173"/>
      <c r="WH316" s="173"/>
      <c r="WI316" s="173"/>
      <c r="WJ316" s="173"/>
      <c r="WK316" s="173"/>
      <c r="WL316" s="173"/>
      <c r="WM316" s="173"/>
      <c r="WN316" s="173"/>
      <c r="WO316" s="173"/>
      <c r="WP316" s="173"/>
    </row>
    <row r="317" spans="1:614">
      <c r="A317" s="173"/>
      <c r="B317" s="133" t="str">
        <f>Comb_scrd[[#Headers],[Fortinet FortiGate-1500D]]</f>
        <v>Fortinet FortiGate-1500D</v>
      </c>
      <c r="C317" s="178">
        <f>VLOOKUP(IPS_Security_table9[[#This Row],[Product]],Perf_table1[#All],2,FALSE)</f>
        <v>11726.8</v>
      </c>
      <c r="D317" s="181">
        <f>VLOOKUP(IPS_Security_table9[[#This Row],[Product]],IPS_security_table8[#All],5,FALSE)</f>
        <v>0.99160531305383703</v>
      </c>
      <c r="E317" s="173"/>
      <c r="G317" s="173"/>
      <c r="H317" s="173"/>
      <c r="I317" s="173"/>
      <c r="J317" s="173"/>
      <c r="K317" s="173"/>
      <c r="L317" s="173"/>
      <c r="M317" s="173"/>
      <c r="N317" s="173"/>
      <c r="O317" s="173"/>
      <c r="P317" s="173"/>
      <c r="Q317" s="173"/>
      <c r="R317" s="173"/>
      <c r="S317" s="173"/>
      <c r="T317" s="173"/>
      <c r="U317" s="173"/>
      <c r="V317" s="173"/>
      <c r="W317" s="173"/>
      <c r="X317" s="173"/>
      <c r="Y317" s="173"/>
      <c r="Z317" s="173"/>
      <c r="AA317" s="173"/>
      <c r="AB317" s="173"/>
      <c r="AC317" s="173"/>
      <c r="AD317" s="173"/>
      <c r="AE317" s="173"/>
      <c r="AF317" s="173"/>
      <c r="AG317" s="173"/>
      <c r="AH317" s="173"/>
      <c r="AI317" s="173"/>
      <c r="AJ317" s="173"/>
      <c r="AK317" s="173"/>
      <c r="AL317" s="173"/>
      <c r="AM317" s="173"/>
      <c r="AN317" s="173"/>
      <c r="AO317" s="173"/>
      <c r="AP317" s="173"/>
      <c r="AQ317" s="173"/>
      <c r="AR317" s="173"/>
      <c r="AS317" s="173"/>
      <c r="AT317" s="173"/>
      <c r="AU317" s="173"/>
      <c r="AV317" s="173"/>
      <c r="AW317" s="173"/>
      <c r="AX317" s="173"/>
      <c r="AY317" s="173"/>
      <c r="AZ317" s="173"/>
      <c r="BA317" s="173"/>
      <c r="BB317" s="173"/>
      <c r="BC317" s="173"/>
      <c r="BD317" s="173"/>
      <c r="BE317" s="173"/>
      <c r="BF317" s="173"/>
      <c r="BG317" s="173"/>
      <c r="BH317" s="173"/>
      <c r="BI317" s="173"/>
      <c r="BJ317" s="173"/>
      <c r="BK317" s="173"/>
      <c r="BL317" s="173"/>
      <c r="BM317" s="173"/>
      <c r="BN317" s="173"/>
      <c r="BO317" s="173"/>
      <c r="BP317" s="173"/>
      <c r="BQ317" s="173"/>
      <c r="BR317" s="173"/>
      <c r="BS317" s="173"/>
      <c r="BT317" s="173"/>
      <c r="BU317" s="173"/>
      <c r="BV317" s="173"/>
      <c r="BW317" s="173"/>
      <c r="BX317" s="173"/>
      <c r="BY317" s="173"/>
      <c r="BZ317" s="173"/>
      <c r="CA317" s="173"/>
      <c r="CB317" s="173"/>
      <c r="CC317" s="173"/>
      <c r="CD317" s="173"/>
      <c r="CE317" s="173"/>
      <c r="CF317" s="173"/>
      <c r="CG317" s="173"/>
      <c r="CH317" s="173"/>
      <c r="CI317" s="173"/>
      <c r="CJ317" s="173"/>
      <c r="CK317" s="173"/>
      <c r="CL317" s="173"/>
      <c r="CM317" s="173"/>
      <c r="CN317" s="173"/>
      <c r="CO317" s="173"/>
      <c r="CP317" s="173"/>
      <c r="CQ317" s="173"/>
      <c r="CR317" s="173"/>
      <c r="CS317" s="173"/>
      <c r="CT317" s="173"/>
      <c r="CU317" s="173"/>
      <c r="CV317" s="173"/>
      <c r="CW317" s="173"/>
      <c r="CX317" s="173"/>
      <c r="CY317" s="173"/>
      <c r="CZ317" s="173"/>
      <c r="DA317" s="173"/>
      <c r="DB317" s="173"/>
      <c r="DC317" s="173"/>
      <c r="DD317" s="173"/>
      <c r="DE317" s="173"/>
      <c r="DF317" s="173"/>
      <c r="DG317" s="173"/>
      <c r="DH317" s="173"/>
      <c r="DI317" s="173"/>
      <c r="DJ317" s="173"/>
      <c r="DK317" s="173"/>
      <c r="DL317" s="173"/>
      <c r="DM317" s="173"/>
      <c r="DN317" s="173"/>
      <c r="DO317" s="173"/>
      <c r="DP317" s="173"/>
      <c r="DQ317" s="173"/>
      <c r="DR317" s="173"/>
      <c r="DS317" s="173"/>
      <c r="DT317" s="173"/>
      <c r="DU317" s="173"/>
      <c r="DV317" s="173"/>
      <c r="DW317" s="173"/>
      <c r="DX317" s="173"/>
      <c r="DY317" s="173"/>
      <c r="DZ317" s="173"/>
      <c r="EA317" s="173"/>
      <c r="EB317" s="173"/>
      <c r="EC317" s="173"/>
      <c r="ED317" s="173"/>
      <c r="EE317" s="173"/>
      <c r="EF317" s="173"/>
      <c r="EG317" s="173"/>
      <c r="EH317" s="173"/>
      <c r="EI317" s="173"/>
      <c r="EJ317" s="173"/>
      <c r="EK317" s="173"/>
      <c r="EL317" s="173"/>
      <c r="EM317" s="173"/>
      <c r="EN317" s="173"/>
      <c r="EO317" s="173"/>
      <c r="EP317" s="173"/>
      <c r="EQ317" s="173"/>
      <c r="ER317" s="173"/>
      <c r="ES317" s="173"/>
      <c r="ET317" s="173"/>
      <c r="EU317" s="173"/>
      <c r="EV317" s="173"/>
      <c r="EW317" s="173"/>
      <c r="EX317" s="173"/>
      <c r="EY317" s="173"/>
      <c r="EZ317" s="173"/>
      <c r="FA317" s="173"/>
      <c r="FB317" s="173"/>
      <c r="FC317" s="173"/>
      <c r="FD317" s="173"/>
      <c r="FE317" s="173"/>
      <c r="FF317" s="173"/>
      <c r="FG317" s="173"/>
      <c r="FH317" s="173"/>
      <c r="FI317" s="173"/>
      <c r="FJ317" s="173"/>
      <c r="FK317" s="173"/>
      <c r="FL317" s="173"/>
      <c r="FM317" s="173"/>
      <c r="FN317" s="173"/>
      <c r="FO317" s="173"/>
      <c r="FP317" s="173"/>
      <c r="FQ317" s="173"/>
      <c r="FR317" s="173"/>
      <c r="FS317" s="173"/>
      <c r="FT317" s="173"/>
      <c r="FU317" s="173"/>
      <c r="FV317" s="173"/>
      <c r="FW317" s="173"/>
      <c r="FX317" s="173"/>
      <c r="FY317" s="173"/>
      <c r="FZ317" s="173"/>
      <c r="GA317" s="173"/>
      <c r="GB317" s="173"/>
      <c r="GC317" s="173"/>
      <c r="GD317" s="173"/>
      <c r="GE317" s="173"/>
      <c r="GF317" s="173"/>
      <c r="GG317" s="173"/>
      <c r="GH317" s="173"/>
      <c r="GI317" s="173"/>
      <c r="GJ317" s="173"/>
      <c r="GK317" s="173"/>
      <c r="GL317" s="173"/>
      <c r="GM317" s="173"/>
      <c r="GN317" s="173"/>
      <c r="GO317" s="173"/>
      <c r="GP317" s="173"/>
      <c r="GQ317" s="173"/>
      <c r="GR317" s="173"/>
      <c r="GS317" s="173"/>
      <c r="GT317" s="173"/>
      <c r="GU317" s="173"/>
      <c r="GV317" s="173"/>
      <c r="GW317" s="173"/>
      <c r="GX317" s="173"/>
      <c r="GY317" s="173"/>
      <c r="GZ317" s="173"/>
      <c r="HA317" s="173"/>
      <c r="HB317" s="173"/>
      <c r="HC317" s="173"/>
      <c r="HD317" s="173"/>
      <c r="HE317" s="173"/>
      <c r="HF317" s="173"/>
      <c r="HG317" s="173"/>
      <c r="HH317" s="173"/>
      <c r="HI317" s="173"/>
      <c r="HJ317" s="173"/>
      <c r="HK317" s="173"/>
      <c r="HL317" s="173"/>
      <c r="HM317" s="173"/>
      <c r="HN317" s="173"/>
      <c r="HO317" s="173"/>
      <c r="HP317" s="173"/>
      <c r="HQ317" s="173"/>
      <c r="HR317" s="173"/>
      <c r="HS317" s="173"/>
      <c r="HT317" s="173"/>
      <c r="HU317" s="173"/>
      <c r="HV317" s="173"/>
      <c r="HW317" s="173"/>
      <c r="HX317" s="173"/>
      <c r="HY317" s="173"/>
      <c r="HZ317" s="173"/>
      <c r="IA317" s="173"/>
      <c r="IB317" s="173"/>
      <c r="IC317" s="173"/>
      <c r="ID317" s="173"/>
      <c r="IE317" s="173"/>
      <c r="IF317" s="173"/>
      <c r="IG317" s="173"/>
      <c r="IH317" s="173"/>
      <c r="II317" s="173"/>
      <c r="IJ317" s="173"/>
      <c r="IK317" s="173"/>
      <c r="IL317" s="173"/>
      <c r="IM317" s="173"/>
      <c r="IN317" s="173"/>
      <c r="IO317" s="173"/>
      <c r="IP317" s="173"/>
      <c r="IQ317" s="173"/>
      <c r="IR317" s="173"/>
      <c r="IS317" s="173"/>
      <c r="IT317" s="173"/>
      <c r="IU317" s="173"/>
      <c r="IV317" s="173"/>
      <c r="IW317" s="173"/>
      <c r="IX317" s="173"/>
      <c r="IY317" s="173"/>
      <c r="IZ317" s="173"/>
      <c r="JA317" s="173"/>
      <c r="JB317" s="173"/>
      <c r="JC317" s="173"/>
      <c r="JD317" s="173"/>
      <c r="JE317" s="173"/>
      <c r="JF317" s="173"/>
      <c r="JG317" s="173"/>
      <c r="JH317" s="173"/>
      <c r="JI317" s="173"/>
      <c r="JJ317" s="173"/>
      <c r="JK317" s="173"/>
      <c r="JL317" s="173"/>
      <c r="JM317" s="173"/>
      <c r="JN317" s="173"/>
      <c r="JO317" s="173"/>
      <c r="JP317" s="173"/>
      <c r="JQ317" s="173"/>
      <c r="JR317" s="173"/>
      <c r="JS317" s="173"/>
      <c r="JT317" s="173"/>
      <c r="JU317" s="173"/>
      <c r="JV317" s="173"/>
      <c r="JW317" s="173"/>
      <c r="JX317" s="173"/>
      <c r="JY317" s="173"/>
      <c r="JZ317" s="173"/>
      <c r="KA317" s="173"/>
      <c r="KB317" s="173"/>
      <c r="KC317" s="173"/>
      <c r="KD317" s="173"/>
      <c r="KE317" s="173"/>
      <c r="KF317" s="173"/>
      <c r="KG317" s="173"/>
      <c r="KH317" s="173"/>
      <c r="KI317" s="173"/>
      <c r="KJ317" s="173"/>
      <c r="KK317" s="173"/>
      <c r="KL317" s="173"/>
      <c r="KM317" s="173"/>
      <c r="KN317" s="173"/>
      <c r="KO317" s="173"/>
      <c r="KP317" s="173"/>
      <c r="KQ317" s="173"/>
      <c r="KR317" s="173"/>
      <c r="KS317" s="173"/>
      <c r="KT317" s="173"/>
      <c r="KU317" s="173"/>
      <c r="KV317" s="173"/>
      <c r="KW317" s="173"/>
      <c r="KX317" s="173"/>
      <c r="KY317" s="173"/>
      <c r="KZ317" s="173"/>
      <c r="LA317" s="173"/>
      <c r="LB317" s="173"/>
      <c r="LC317" s="173"/>
      <c r="LD317" s="173"/>
      <c r="LE317" s="173"/>
      <c r="LF317" s="173"/>
      <c r="LG317" s="173"/>
      <c r="LH317" s="173"/>
      <c r="LI317" s="173"/>
      <c r="LJ317" s="173"/>
      <c r="LK317" s="173"/>
      <c r="LL317" s="173"/>
      <c r="LM317" s="173"/>
      <c r="LN317" s="173"/>
      <c r="LO317" s="173"/>
      <c r="LP317" s="173"/>
      <c r="LQ317" s="173"/>
      <c r="LR317" s="173"/>
      <c r="LS317" s="173"/>
      <c r="LT317" s="173"/>
      <c r="LU317" s="173"/>
      <c r="LV317" s="173"/>
      <c r="LW317" s="173"/>
      <c r="LX317" s="173"/>
      <c r="LY317" s="173"/>
      <c r="LZ317" s="173"/>
      <c r="MA317" s="173"/>
      <c r="MB317" s="173"/>
      <c r="MC317" s="173"/>
      <c r="MD317" s="173"/>
      <c r="ME317" s="173"/>
      <c r="MF317" s="173"/>
      <c r="MG317" s="173"/>
      <c r="MH317" s="173"/>
      <c r="MI317" s="173"/>
      <c r="MJ317" s="173"/>
      <c r="MK317" s="173"/>
      <c r="ML317" s="173"/>
      <c r="MM317" s="173"/>
      <c r="MN317" s="173"/>
      <c r="MO317" s="173"/>
      <c r="MP317" s="173"/>
      <c r="MQ317" s="173"/>
      <c r="MR317" s="173"/>
      <c r="MS317" s="173"/>
      <c r="MT317" s="173"/>
      <c r="MU317" s="173"/>
      <c r="MV317" s="173"/>
      <c r="MW317" s="173"/>
      <c r="MX317" s="173"/>
      <c r="MY317" s="173"/>
      <c r="MZ317" s="173"/>
      <c r="NA317" s="173"/>
      <c r="NB317" s="173"/>
      <c r="NC317" s="173"/>
      <c r="ND317" s="173"/>
      <c r="NE317" s="173"/>
      <c r="NF317" s="173"/>
      <c r="NG317" s="173"/>
      <c r="NH317" s="173"/>
      <c r="NI317" s="173"/>
      <c r="NJ317" s="173"/>
      <c r="NK317" s="173"/>
      <c r="NL317" s="173"/>
      <c r="NM317" s="173"/>
      <c r="NN317" s="173"/>
      <c r="NO317" s="173"/>
      <c r="NP317" s="173"/>
      <c r="NQ317" s="173"/>
      <c r="NR317" s="173"/>
      <c r="NS317" s="173"/>
      <c r="NT317" s="173"/>
      <c r="NU317" s="173"/>
      <c r="NV317" s="173"/>
      <c r="NW317" s="173"/>
      <c r="NX317" s="173"/>
      <c r="NY317" s="173"/>
      <c r="NZ317" s="173"/>
      <c r="OA317" s="173"/>
      <c r="OB317" s="173"/>
      <c r="OC317" s="173"/>
      <c r="OD317" s="173"/>
      <c r="OE317" s="173"/>
      <c r="OF317" s="173"/>
      <c r="OG317" s="173"/>
      <c r="OH317" s="173"/>
      <c r="OI317" s="173"/>
      <c r="OJ317" s="173"/>
      <c r="OK317" s="173"/>
      <c r="OL317" s="173"/>
      <c r="OM317" s="173"/>
      <c r="ON317" s="173"/>
      <c r="OO317" s="173"/>
      <c r="OP317" s="173"/>
      <c r="OQ317" s="173"/>
      <c r="OR317" s="173"/>
      <c r="OS317" s="173"/>
      <c r="OT317" s="173"/>
      <c r="OU317" s="173"/>
      <c r="OV317" s="173"/>
      <c r="OW317" s="173"/>
      <c r="OX317" s="173"/>
      <c r="OY317" s="173"/>
      <c r="OZ317" s="173"/>
      <c r="PA317" s="173"/>
      <c r="PB317" s="173"/>
      <c r="PC317" s="173"/>
      <c r="PD317" s="173"/>
      <c r="PE317" s="173"/>
      <c r="PF317" s="173"/>
      <c r="PG317" s="173"/>
      <c r="PH317" s="173"/>
      <c r="PI317" s="173"/>
      <c r="PJ317" s="173"/>
      <c r="PK317" s="173"/>
      <c r="PL317" s="173"/>
      <c r="PM317" s="173"/>
      <c r="PN317" s="173"/>
      <c r="PO317" s="173"/>
      <c r="PP317" s="173"/>
      <c r="PQ317" s="173"/>
      <c r="PR317" s="173"/>
      <c r="PS317" s="173"/>
      <c r="PT317" s="173"/>
      <c r="PU317" s="173"/>
      <c r="PV317" s="173"/>
      <c r="PW317" s="173"/>
      <c r="PX317" s="173"/>
      <c r="PY317" s="173"/>
      <c r="PZ317" s="173"/>
      <c r="QA317" s="173"/>
      <c r="QB317" s="173"/>
      <c r="QC317" s="173"/>
      <c r="QD317" s="173"/>
      <c r="QE317" s="173"/>
      <c r="QF317" s="173"/>
      <c r="QG317" s="173"/>
      <c r="QH317" s="173"/>
      <c r="QI317" s="173"/>
      <c r="QJ317" s="173"/>
      <c r="QK317" s="173"/>
      <c r="QL317" s="173"/>
      <c r="QM317" s="173"/>
      <c r="QN317" s="173"/>
      <c r="QO317" s="173"/>
      <c r="QP317" s="173"/>
      <c r="QQ317" s="173"/>
      <c r="QR317" s="173"/>
      <c r="QS317" s="173"/>
      <c r="QT317" s="173"/>
      <c r="QU317" s="173"/>
      <c r="QV317" s="173"/>
      <c r="QW317" s="173"/>
      <c r="QX317" s="173"/>
      <c r="QY317" s="173"/>
      <c r="QZ317" s="173"/>
      <c r="RA317" s="173"/>
      <c r="RB317" s="173"/>
      <c r="RC317" s="173"/>
      <c r="RD317" s="173"/>
      <c r="RE317" s="173"/>
      <c r="RF317" s="173"/>
      <c r="RG317" s="173"/>
      <c r="RH317" s="173"/>
      <c r="RI317" s="173"/>
      <c r="RJ317" s="173"/>
      <c r="RK317" s="173"/>
      <c r="RL317" s="173"/>
      <c r="RM317" s="173"/>
      <c r="RN317" s="173"/>
      <c r="RO317" s="173"/>
      <c r="RP317" s="173"/>
      <c r="RQ317" s="173"/>
      <c r="RR317" s="173"/>
      <c r="RS317" s="173"/>
      <c r="RT317" s="173"/>
      <c r="RU317" s="173"/>
      <c r="RV317" s="173"/>
      <c r="RW317" s="173"/>
      <c r="RX317" s="173"/>
      <c r="RY317" s="173"/>
      <c r="RZ317" s="173"/>
      <c r="SA317" s="173"/>
      <c r="SB317" s="173"/>
      <c r="SC317" s="173"/>
      <c r="SD317" s="173"/>
      <c r="SE317" s="173"/>
      <c r="SF317" s="173"/>
      <c r="SG317" s="173"/>
      <c r="SH317" s="173"/>
      <c r="SI317" s="173"/>
      <c r="SJ317" s="173"/>
      <c r="SK317" s="173"/>
      <c r="SL317" s="173"/>
      <c r="SM317" s="173"/>
      <c r="SN317" s="173"/>
      <c r="SO317" s="173"/>
      <c r="SP317" s="173"/>
      <c r="SQ317" s="173"/>
      <c r="SR317" s="173"/>
      <c r="SS317" s="173"/>
      <c r="ST317" s="173"/>
      <c r="SU317" s="173"/>
      <c r="SV317" s="173"/>
      <c r="SW317" s="173"/>
      <c r="SX317" s="173"/>
      <c r="SY317" s="173"/>
      <c r="SZ317" s="173"/>
      <c r="TA317" s="173"/>
      <c r="TB317" s="173"/>
      <c r="TC317" s="173"/>
      <c r="TD317" s="173"/>
      <c r="TE317" s="173"/>
      <c r="TF317" s="173"/>
      <c r="TG317" s="173"/>
      <c r="TH317" s="173"/>
      <c r="TI317" s="173"/>
      <c r="TJ317" s="173"/>
      <c r="TK317" s="173"/>
      <c r="TL317" s="173"/>
      <c r="TM317" s="173"/>
      <c r="TN317" s="173"/>
      <c r="TO317" s="173"/>
      <c r="TP317" s="173"/>
      <c r="TQ317" s="173"/>
      <c r="TR317" s="173"/>
      <c r="TS317" s="173"/>
      <c r="TT317" s="173"/>
      <c r="TU317" s="173"/>
      <c r="TV317" s="173"/>
      <c r="TW317" s="173"/>
      <c r="TX317" s="173"/>
      <c r="TY317" s="173"/>
      <c r="TZ317" s="173"/>
      <c r="UA317" s="173"/>
      <c r="UB317" s="173"/>
      <c r="UC317" s="173"/>
      <c r="UD317" s="173"/>
      <c r="UE317" s="173"/>
      <c r="UF317" s="173"/>
      <c r="UG317" s="173"/>
      <c r="UH317" s="173"/>
      <c r="UI317" s="173"/>
      <c r="UJ317" s="173"/>
      <c r="UK317" s="173"/>
      <c r="UL317" s="173"/>
      <c r="UM317" s="173"/>
      <c r="UN317" s="173"/>
      <c r="UO317" s="173"/>
      <c r="UP317" s="173"/>
      <c r="UQ317" s="173"/>
      <c r="UR317" s="173"/>
      <c r="US317" s="173"/>
      <c r="UT317" s="173"/>
      <c r="UU317" s="173"/>
      <c r="UV317" s="173"/>
      <c r="UW317" s="173"/>
      <c r="UX317" s="173"/>
      <c r="UY317" s="173"/>
      <c r="UZ317" s="173"/>
      <c r="VA317" s="173"/>
      <c r="VB317" s="173"/>
      <c r="VC317" s="173"/>
      <c r="VD317" s="173"/>
      <c r="VE317" s="173"/>
      <c r="VF317" s="173"/>
      <c r="VG317" s="173"/>
      <c r="VH317" s="173"/>
      <c r="VI317" s="173"/>
      <c r="VJ317" s="173"/>
      <c r="VK317" s="173"/>
      <c r="VL317" s="173"/>
      <c r="VM317" s="173"/>
      <c r="VN317" s="173"/>
      <c r="VO317" s="173"/>
      <c r="VP317" s="173"/>
      <c r="VQ317" s="173"/>
      <c r="VR317" s="173"/>
      <c r="VS317" s="173"/>
      <c r="VT317" s="173"/>
      <c r="VU317" s="173"/>
      <c r="VV317" s="173"/>
      <c r="VW317" s="173"/>
      <c r="VX317" s="173"/>
      <c r="VY317" s="173"/>
      <c r="VZ317" s="173"/>
      <c r="WA317" s="173"/>
      <c r="WB317" s="173"/>
      <c r="WC317" s="173"/>
      <c r="WD317" s="173"/>
      <c r="WE317" s="173"/>
      <c r="WF317" s="173"/>
      <c r="WG317" s="173"/>
      <c r="WH317" s="173"/>
      <c r="WI317" s="173"/>
      <c r="WJ317" s="173"/>
      <c r="WK317" s="173"/>
      <c r="WL317" s="173"/>
      <c r="WM317" s="173"/>
      <c r="WN317" s="173"/>
      <c r="WO317" s="173"/>
      <c r="WP317" s="173"/>
    </row>
    <row r="318" spans="1:614">
      <c r="A318" s="173"/>
      <c r="B318" s="133" t="str">
        <f>Comb_scrd[[#Headers],[HP TippingPoint S7500NX]]</f>
        <v>HP TippingPoint S7500NX</v>
      </c>
      <c r="C318" s="180">
        <f>VLOOKUP(IPS_Security_table9[[#This Row],[Product]],Perf_table1[#All],2,FALSE)</f>
        <v>18694.400000000001</v>
      </c>
      <c r="D318" s="181">
        <f>VLOOKUP(IPS_Security_table9[[#This Row],[Product]],IPS_security_table8[#All],5,FALSE)</f>
        <v>0.86619640834260148</v>
      </c>
      <c r="E318" s="173"/>
      <c r="G318" s="173"/>
      <c r="H318" s="173"/>
      <c r="I318" s="173"/>
      <c r="J318" s="173"/>
      <c r="K318" s="173"/>
      <c r="L318" s="173"/>
      <c r="M318" s="173"/>
      <c r="N318" s="173"/>
      <c r="O318" s="173"/>
      <c r="P318" s="173"/>
      <c r="Q318" s="173"/>
      <c r="R318" s="173"/>
      <c r="S318" s="173"/>
      <c r="T318" s="173"/>
      <c r="U318" s="173"/>
      <c r="V318" s="173"/>
      <c r="W318" s="173"/>
      <c r="X318" s="173"/>
      <c r="Y318" s="173"/>
      <c r="Z318" s="173"/>
      <c r="AA318" s="173"/>
      <c r="AB318" s="173"/>
      <c r="AC318" s="173"/>
      <c r="AD318" s="173"/>
      <c r="AE318" s="173"/>
      <c r="AF318" s="173"/>
      <c r="AG318" s="173"/>
      <c r="AH318" s="173"/>
      <c r="AI318" s="173"/>
      <c r="AJ318" s="173"/>
      <c r="AK318" s="173"/>
      <c r="AL318" s="173"/>
      <c r="AM318" s="173"/>
      <c r="AN318" s="173"/>
      <c r="AO318" s="173"/>
      <c r="AP318" s="173"/>
      <c r="AQ318" s="173"/>
      <c r="AR318" s="173"/>
      <c r="AS318" s="173"/>
      <c r="AT318" s="173"/>
      <c r="AU318" s="173"/>
      <c r="AV318" s="173"/>
      <c r="AW318" s="173"/>
      <c r="AX318" s="173"/>
      <c r="AY318" s="173"/>
      <c r="AZ318" s="173"/>
      <c r="BA318" s="173"/>
      <c r="BB318" s="173"/>
      <c r="BC318" s="173"/>
      <c r="BD318" s="173"/>
      <c r="BE318" s="173"/>
      <c r="BF318" s="173"/>
      <c r="BG318" s="173"/>
      <c r="BH318" s="173"/>
      <c r="BI318" s="173"/>
      <c r="BJ318" s="173"/>
      <c r="BK318" s="173"/>
      <c r="BL318" s="173"/>
      <c r="BM318" s="173"/>
      <c r="BN318" s="173"/>
      <c r="BO318" s="173"/>
      <c r="BP318" s="173"/>
      <c r="BQ318" s="173"/>
      <c r="BR318" s="173"/>
      <c r="BS318" s="173"/>
      <c r="BT318" s="173"/>
      <c r="BU318" s="173"/>
      <c r="BV318" s="173"/>
      <c r="BW318" s="173"/>
      <c r="BX318" s="173"/>
      <c r="BY318" s="173"/>
      <c r="BZ318" s="173"/>
      <c r="CA318" s="173"/>
      <c r="CB318" s="173"/>
      <c r="CC318" s="173"/>
      <c r="CD318" s="173"/>
      <c r="CE318" s="173"/>
      <c r="CF318" s="173"/>
      <c r="CG318" s="173"/>
      <c r="CH318" s="173"/>
      <c r="CI318" s="173"/>
      <c r="CJ318" s="173"/>
      <c r="CK318" s="173"/>
      <c r="CL318" s="173"/>
      <c r="CM318" s="173"/>
      <c r="CN318" s="173"/>
      <c r="CO318" s="173"/>
      <c r="CP318" s="173"/>
      <c r="CQ318" s="173"/>
      <c r="CR318" s="173"/>
      <c r="CS318" s="173"/>
      <c r="CT318" s="173"/>
      <c r="CU318" s="173"/>
      <c r="CV318" s="173"/>
      <c r="CW318" s="173"/>
      <c r="CX318" s="173"/>
      <c r="CY318" s="173"/>
      <c r="CZ318" s="173"/>
      <c r="DA318" s="173"/>
      <c r="DB318" s="173"/>
      <c r="DC318" s="173"/>
      <c r="DD318" s="173"/>
      <c r="DE318" s="173"/>
      <c r="DF318" s="173"/>
      <c r="DG318" s="173"/>
      <c r="DH318" s="173"/>
      <c r="DI318" s="173"/>
      <c r="DJ318" s="173"/>
      <c r="DK318" s="173"/>
      <c r="DL318" s="173"/>
      <c r="DM318" s="173"/>
      <c r="DN318" s="173"/>
      <c r="DO318" s="173"/>
      <c r="DP318" s="173"/>
      <c r="DQ318" s="173"/>
      <c r="DR318" s="173"/>
      <c r="DS318" s="173"/>
      <c r="DT318" s="173"/>
      <c r="DU318" s="173"/>
      <c r="DV318" s="173"/>
      <c r="DW318" s="173"/>
      <c r="DX318" s="173"/>
      <c r="DY318" s="173"/>
      <c r="DZ318" s="173"/>
      <c r="EA318" s="173"/>
      <c r="EB318" s="173"/>
      <c r="EC318" s="173"/>
      <c r="ED318" s="173"/>
      <c r="EE318" s="173"/>
      <c r="EF318" s="173"/>
      <c r="EG318" s="173"/>
      <c r="EH318" s="173"/>
      <c r="EI318" s="173"/>
      <c r="EJ318" s="173"/>
      <c r="EK318" s="173"/>
      <c r="EL318" s="173"/>
      <c r="EM318" s="173"/>
      <c r="EN318" s="173"/>
      <c r="EO318" s="173"/>
      <c r="EP318" s="173"/>
      <c r="EQ318" s="173"/>
      <c r="ER318" s="173"/>
      <c r="ES318" s="173"/>
      <c r="ET318" s="173"/>
      <c r="EU318" s="173"/>
      <c r="EV318" s="173"/>
      <c r="EW318" s="173"/>
      <c r="EX318" s="173"/>
      <c r="EY318" s="173"/>
      <c r="EZ318" s="173"/>
      <c r="FA318" s="173"/>
      <c r="FB318" s="173"/>
      <c r="FC318" s="173"/>
      <c r="FD318" s="173"/>
      <c r="FE318" s="173"/>
      <c r="FF318" s="173"/>
      <c r="FG318" s="173"/>
      <c r="FH318" s="173"/>
      <c r="FI318" s="173"/>
      <c r="FJ318" s="173"/>
      <c r="FK318" s="173"/>
      <c r="FL318" s="173"/>
      <c r="FM318" s="173"/>
      <c r="FN318" s="173"/>
      <c r="FO318" s="173"/>
      <c r="FP318" s="173"/>
      <c r="FQ318" s="173"/>
      <c r="FR318" s="173"/>
      <c r="FS318" s="173"/>
      <c r="FT318" s="173"/>
      <c r="FU318" s="173"/>
      <c r="FV318" s="173"/>
      <c r="FW318" s="173"/>
      <c r="FX318" s="173"/>
      <c r="FY318" s="173"/>
      <c r="FZ318" s="173"/>
      <c r="GA318" s="173"/>
      <c r="GB318" s="173"/>
      <c r="GC318" s="173"/>
      <c r="GD318" s="173"/>
      <c r="GE318" s="173"/>
      <c r="GF318" s="173"/>
      <c r="GG318" s="173"/>
      <c r="GH318" s="173"/>
      <c r="GI318" s="173"/>
      <c r="GJ318" s="173"/>
      <c r="GK318" s="173"/>
      <c r="GL318" s="173"/>
      <c r="GM318" s="173"/>
      <c r="GN318" s="173"/>
      <c r="GO318" s="173"/>
      <c r="GP318" s="173"/>
      <c r="GQ318" s="173"/>
      <c r="GR318" s="173"/>
      <c r="GS318" s="173"/>
      <c r="GT318" s="173"/>
      <c r="GU318" s="173"/>
      <c r="GV318" s="173"/>
      <c r="GW318" s="173"/>
      <c r="GX318" s="173"/>
      <c r="GY318" s="173"/>
      <c r="GZ318" s="173"/>
      <c r="HA318" s="173"/>
      <c r="HB318" s="173"/>
      <c r="HC318" s="173"/>
      <c r="HD318" s="173"/>
      <c r="HE318" s="173"/>
      <c r="HF318" s="173"/>
      <c r="HG318" s="173"/>
      <c r="HH318" s="173"/>
      <c r="HI318" s="173"/>
      <c r="HJ318" s="173"/>
      <c r="HK318" s="173"/>
      <c r="HL318" s="173"/>
      <c r="HM318" s="173"/>
      <c r="HN318" s="173"/>
      <c r="HO318" s="173"/>
      <c r="HP318" s="173"/>
      <c r="HQ318" s="173"/>
      <c r="HR318" s="173"/>
      <c r="HS318" s="173"/>
      <c r="HT318" s="173"/>
      <c r="HU318" s="173"/>
      <c r="HV318" s="173"/>
      <c r="HW318" s="173"/>
      <c r="HX318" s="173"/>
      <c r="HY318" s="173"/>
      <c r="HZ318" s="173"/>
      <c r="IA318" s="173"/>
      <c r="IB318" s="173"/>
      <c r="IC318" s="173"/>
      <c r="ID318" s="173"/>
      <c r="IE318" s="173"/>
      <c r="IF318" s="173"/>
      <c r="IG318" s="173"/>
      <c r="IH318" s="173"/>
      <c r="II318" s="173"/>
      <c r="IJ318" s="173"/>
      <c r="IK318" s="173"/>
      <c r="IL318" s="173"/>
      <c r="IM318" s="173"/>
      <c r="IN318" s="173"/>
      <c r="IO318" s="173"/>
      <c r="IP318" s="173"/>
      <c r="IQ318" s="173"/>
      <c r="IR318" s="173"/>
      <c r="IS318" s="173"/>
      <c r="IT318" s="173"/>
      <c r="IU318" s="173"/>
      <c r="IV318" s="173"/>
      <c r="IW318" s="173"/>
      <c r="IX318" s="173"/>
      <c r="IY318" s="173"/>
      <c r="IZ318" s="173"/>
      <c r="JA318" s="173"/>
      <c r="JB318" s="173"/>
      <c r="JC318" s="173"/>
      <c r="JD318" s="173"/>
      <c r="JE318" s="173"/>
      <c r="JF318" s="173"/>
      <c r="JG318" s="173"/>
      <c r="JH318" s="173"/>
      <c r="JI318" s="173"/>
      <c r="JJ318" s="173"/>
      <c r="JK318" s="173"/>
      <c r="JL318" s="173"/>
      <c r="JM318" s="173"/>
      <c r="JN318" s="173"/>
      <c r="JO318" s="173"/>
      <c r="JP318" s="173"/>
      <c r="JQ318" s="173"/>
      <c r="JR318" s="173"/>
      <c r="JS318" s="173"/>
      <c r="JT318" s="173"/>
      <c r="JU318" s="173"/>
      <c r="JV318" s="173"/>
      <c r="JW318" s="173"/>
      <c r="JX318" s="173"/>
      <c r="JY318" s="173"/>
      <c r="JZ318" s="173"/>
      <c r="KA318" s="173"/>
      <c r="KB318" s="173"/>
      <c r="KC318" s="173"/>
      <c r="KD318" s="173"/>
      <c r="KE318" s="173"/>
      <c r="KF318" s="173"/>
      <c r="KG318" s="173"/>
      <c r="KH318" s="173"/>
      <c r="KI318" s="173"/>
      <c r="KJ318" s="173"/>
      <c r="KK318" s="173"/>
      <c r="KL318" s="173"/>
      <c r="KM318" s="173"/>
      <c r="KN318" s="173"/>
      <c r="KO318" s="173"/>
      <c r="KP318" s="173"/>
      <c r="KQ318" s="173"/>
      <c r="KR318" s="173"/>
      <c r="KS318" s="173"/>
      <c r="KT318" s="173"/>
      <c r="KU318" s="173"/>
      <c r="KV318" s="173"/>
      <c r="KW318" s="173"/>
      <c r="KX318" s="173"/>
      <c r="KY318" s="173"/>
      <c r="KZ318" s="173"/>
      <c r="LA318" s="173"/>
      <c r="LB318" s="173"/>
      <c r="LC318" s="173"/>
      <c r="LD318" s="173"/>
      <c r="LE318" s="173"/>
      <c r="LF318" s="173"/>
      <c r="LG318" s="173"/>
      <c r="LH318" s="173"/>
      <c r="LI318" s="173"/>
      <c r="LJ318" s="173"/>
      <c r="LK318" s="173"/>
      <c r="LL318" s="173"/>
      <c r="LM318" s="173"/>
      <c r="LN318" s="173"/>
      <c r="LO318" s="173"/>
      <c r="LP318" s="173"/>
      <c r="LQ318" s="173"/>
      <c r="LR318" s="173"/>
      <c r="LS318" s="173"/>
      <c r="LT318" s="173"/>
      <c r="LU318" s="173"/>
      <c r="LV318" s="173"/>
      <c r="LW318" s="173"/>
      <c r="LX318" s="173"/>
      <c r="LY318" s="173"/>
      <c r="LZ318" s="173"/>
      <c r="MA318" s="173"/>
      <c r="MB318" s="173"/>
      <c r="MC318" s="173"/>
      <c r="MD318" s="173"/>
      <c r="ME318" s="173"/>
      <c r="MF318" s="173"/>
      <c r="MG318" s="173"/>
      <c r="MH318" s="173"/>
      <c r="MI318" s="173"/>
      <c r="MJ318" s="173"/>
      <c r="MK318" s="173"/>
      <c r="ML318" s="173"/>
      <c r="MM318" s="173"/>
      <c r="MN318" s="173"/>
      <c r="MO318" s="173"/>
      <c r="MP318" s="173"/>
      <c r="MQ318" s="173"/>
      <c r="MR318" s="173"/>
      <c r="MS318" s="173"/>
      <c r="MT318" s="173"/>
      <c r="MU318" s="173"/>
      <c r="MV318" s="173"/>
      <c r="MW318" s="173"/>
      <c r="MX318" s="173"/>
      <c r="MY318" s="173"/>
      <c r="MZ318" s="173"/>
      <c r="NA318" s="173"/>
      <c r="NB318" s="173"/>
      <c r="NC318" s="173"/>
      <c r="ND318" s="173"/>
      <c r="NE318" s="173"/>
      <c r="NF318" s="173"/>
      <c r="NG318" s="173"/>
      <c r="NH318" s="173"/>
      <c r="NI318" s="173"/>
      <c r="NJ318" s="173"/>
      <c r="NK318" s="173"/>
      <c r="NL318" s="173"/>
      <c r="NM318" s="173"/>
      <c r="NN318" s="173"/>
      <c r="NO318" s="173"/>
      <c r="NP318" s="173"/>
      <c r="NQ318" s="173"/>
      <c r="NR318" s="173"/>
      <c r="NS318" s="173"/>
      <c r="NT318" s="173"/>
      <c r="NU318" s="173"/>
      <c r="NV318" s="173"/>
      <c r="NW318" s="173"/>
      <c r="NX318" s="173"/>
      <c r="NY318" s="173"/>
      <c r="NZ318" s="173"/>
      <c r="OA318" s="173"/>
      <c r="OB318" s="173"/>
      <c r="OC318" s="173"/>
      <c r="OD318" s="173"/>
      <c r="OE318" s="173"/>
      <c r="OF318" s="173"/>
      <c r="OG318" s="173"/>
      <c r="OH318" s="173"/>
      <c r="OI318" s="173"/>
      <c r="OJ318" s="173"/>
      <c r="OK318" s="173"/>
      <c r="OL318" s="173"/>
      <c r="OM318" s="173"/>
      <c r="ON318" s="173"/>
      <c r="OO318" s="173"/>
      <c r="OP318" s="173"/>
      <c r="OQ318" s="173"/>
      <c r="OR318" s="173"/>
      <c r="OS318" s="173"/>
      <c r="OT318" s="173"/>
      <c r="OU318" s="173"/>
      <c r="OV318" s="173"/>
      <c r="OW318" s="173"/>
      <c r="OX318" s="173"/>
      <c r="OY318" s="173"/>
      <c r="OZ318" s="173"/>
      <c r="PA318" s="173"/>
      <c r="PB318" s="173"/>
      <c r="PC318" s="173"/>
      <c r="PD318" s="173"/>
      <c r="PE318" s="173"/>
      <c r="PF318" s="173"/>
      <c r="PG318" s="173"/>
      <c r="PH318" s="173"/>
      <c r="PI318" s="173"/>
      <c r="PJ318" s="173"/>
      <c r="PK318" s="173"/>
      <c r="PL318" s="173"/>
      <c r="PM318" s="173"/>
      <c r="PN318" s="173"/>
      <c r="PO318" s="173"/>
      <c r="PP318" s="173"/>
      <c r="PQ318" s="173"/>
      <c r="PR318" s="173"/>
      <c r="PS318" s="173"/>
      <c r="PT318" s="173"/>
      <c r="PU318" s="173"/>
      <c r="PV318" s="173"/>
      <c r="PW318" s="173"/>
      <c r="PX318" s="173"/>
      <c r="PY318" s="173"/>
      <c r="PZ318" s="173"/>
      <c r="QA318" s="173"/>
      <c r="QB318" s="173"/>
      <c r="QC318" s="173"/>
      <c r="QD318" s="173"/>
      <c r="QE318" s="173"/>
      <c r="QF318" s="173"/>
      <c r="QG318" s="173"/>
      <c r="QH318" s="173"/>
      <c r="QI318" s="173"/>
      <c r="QJ318" s="173"/>
      <c r="QK318" s="173"/>
      <c r="QL318" s="173"/>
      <c r="QM318" s="173"/>
      <c r="QN318" s="173"/>
      <c r="QO318" s="173"/>
      <c r="QP318" s="173"/>
      <c r="QQ318" s="173"/>
      <c r="QR318" s="173"/>
      <c r="QS318" s="173"/>
      <c r="QT318" s="173"/>
      <c r="QU318" s="173"/>
      <c r="QV318" s="173"/>
      <c r="QW318" s="173"/>
      <c r="QX318" s="173"/>
      <c r="QY318" s="173"/>
      <c r="QZ318" s="173"/>
      <c r="RA318" s="173"/>
      <c r="RB318" s="173"/>
      <c r="RC318" s="173"/>
      <c r="RD318" s="173"/>
      <c r="RE318" s="173"/>
      <c r="RF318" s="173"/>
      <c r="RG318" s="173"/>
      <c r="RH318" s="173"/>
      <c r="RI318" s="173"/>
      <c r="RJ318" s="173"/>
      <c r="RK318" s="173"/>
      <c r="RL318" s="173"/>
      <c r="RM318" s="173"/>
      <c r="RN318" s="173"/>
      <c r="RO318" s="173"/>
      <c r="RP318" s="173"/>
      <c r="RQ318" s="173"/>
      <c r="RR318" s="173"/>
      <c r="RS318" s="173"/>
      <c r="RT318" s="173"/>
      <c r="RU318" s="173"/>
      <c r="RV318" s="173"/>
      <c r="RW318" s="173"/>
      <c r="RX318" s="173"/>
      <c r="RY318" s="173"/>
      <c r="RZ318" s="173"/>
      <c r="SA318" s="173"/>
      <c r="SB318" s="173"/>
      <c r="SC318" s="173"/>
      <c r="SD318" s="173"/>
      <c r="SE318" s="173"/>
      <c r="SF318" s="173"/>
      <c r="SG318" s="173"/>
      <c r="SH318" s="173"/>
      <c r="SI318" s="173"/>
      <c r="SJ318" s="173"/>
      <c r="SK318" s="173"/>
      <c r="SL318" s="173"/>
      <c r="SM318" s="173"/>
      <c r="SN318" s="173"/>
      <c r="SO318" s="173"/>
      <c r="SP318" s="173"/>
      <c r="SQ318" s="173"/>
      <c r="SR318" s="173"/>
      <c r="SS318" s="173"/>
      <c r="ST318" s="173"/>
      <c r="SU318" s="173"/>
      <c r="SV318" s="173"/>
      <c r="SW318" s="173"/>
      <c r="SX318" s="173"/>
      <c r="SY318" s="173"/>
      <c r="SZ318" s="173"/>
      <c r="TA318" s="173"/>
      <c r="TB318" s="173"/>
      <c r="TC318" s="173"/>
      <c r="TD318" s="173"/>
      <c r="TE318" s="173"/>
      <c r="TF318" s="173"/>
      <c r="TG318" s="173"/>
      <c r="TH318" s="173"/>
      <c r="TI318" s="173"/>
      <c r="TJ318" s="173"/>
      <c r="TK318" s="173"/>
      <c r="TL318" s="173"/>
      <c r="TM318" s="173"/>
      <c r="TN318" s="173"/>
      <c r="TO318" s="173"/>
      <c r="TP318" s="173"/>
      <c r="TQ318" s="173"/>
      <c r="TR318" s="173"/>
      <c r="TS318" s="173"/>
      <c r="TT318" s="173"/>
      <c r="TU318" s="173"/>
      <c r="TV318" s="173"/>
      <c r="TW318" s="173"/>
      <c r="TX318" s="173"/>
      <c r="TY318" s="173"/>
      <c r="TZ318" s="173"/>
      <c r="UA318" s="173"/>
      <c r="UB318" s="173"/>
      <c r="UC318" s="173"/>
      <c r="UD318" s="173"/>
      <c r="UE318" s="173"/>
      <c r="UF318" s="173"/>
      <c r="UG318" s="173"/>
      <c r="UH318" s="173"/>
      <c r="UI318" s="173"/>
      <c r="UJ318" s="173"/>
      <c r="UK318" s="173"/>
      <c r="UL318" s="173"/>
      <c r="UM318" s="173"/>
      <c r="UN318" s="173"/>
      <c r="UO318" s="173"/>
      <c r="UP318" s="173"/>
      <c r="UQ318" s="173"/>
      <c r="UR318" s="173"/>
      <c r="US318" s="173"/>
      <c r="UT318" s="173"/>
      <c r="UU318" s="173"/>
      <c r="UV318" s="173"/>
      <c r="UW318" s="173"/>
      <c r="UX318" s="173"/>
      <c r="UY318" s="173"/>
      <c r="UZ318" s="173"/>
      <c r="VA318" s="173"/>
      <c r="VB318" s="173"/>
      <c r="VC318" s="173"/>
      <c r="VD318" s="173"/>
      <c r="VE318" s="173"/>
      <c r="VF318" s="173"/>
      <c r="VG318" s="173"/>
      <c r="VH318" s="173"/>
      <c r="VI318" s="173"/>
      <c r="VJ318" s="173"/>
      <c r="VK318" s="173"/>
      <c r="VL318" s="173"/>
      <c r="VM318" s="173"/>
      <c r="VN318" s="173"/>
      <c r="VO318" s="173"/>
      <c r="VP318" s="173"/>
      <c r="VQ318" s="173"/>
      <c r="VR318" s="173"/>
      <c r="VS318" s="173"/>
      <c r="VT318" s="173"/>
      <c r="VU318" s="173"/>
      <c r="VV318" s="173"/>
      <c r="VW318" s="173"/>
      <c r="VX318" s="173"/>
      <c r="VY318" s="173"/>
      <c r="VZ318" s="173"/>
      <c r="WA318" s="173"/>
      <c r="WB318" s="173"/>
      <c r="WC318" s="173"/>
      <c r="WD318" s="173"/>
      <c r="WE318" s="173"/>
      <c r="WF318" s="173"/>
      <c r="WG318" s="173"/>
      <c r="WH318" s="173"/>
      <c r="WI318" s="173"/>
      <c r="WJ318" s="173"/>
      <c r="WK318" s="173"/>
      <c r="WL318" s="173"/>
      <c r="WM318" s="173"/>
      <c r="WN318" s="173"/>
      <c r="WO318" s="173"/>
      <c r="WP318" s="173"/>
    </row>
    <row r="319" spans="1:614">
      <c r="A319" s="173"/>
      <c r="B319" s="133" t="str">
        <f>Comb_scrd[[#Headers],[IBM Security Network Protection XGS 5100]]</f>
        <v>IBM Security Network Protection XGS 5100</v>
      </c>
      <c r="C319" s="180">
        <f>VLOOKUP(IPS_Security_table9[[#This Row],[Product]],Perf_table1[#All],2,FALSE)</f>
        <v>9168.2000000000007</v>
      </c>
      <c r="D319" s="181">
        <f>VLOOKUP(IPS_Security_table9[[#This Row],[Product]],IPS_security_table8[#All],5,FALSE)</f>
        <v>0.96755286090621706</v>
      </c>
      <c r="E319" s="173"/>
      <c r="G319" s="173"/>
      <c r="H319" s="173"/>
      <c r="I319" s="173"/>
      <c r="J319" s="173"/>
      <c r="K319" s="173"/>
      <c r="L319" s="173"/>
      <c r="M319" s="173"/>
      <c r="N319" s="173"/>
      <c r="O319" s="173"/>
      <c r="P319" s="173"/>
      <c r="Q319" s="173"/>
      <c r="R319" s="173"/>
      <c r="S319" s="173"/>
      <c r="T319" s="173"/>
      <c r="U319" s="173"/>
      <c r="V319" s="173"/>
      <c r="W319" s="173"/>
      <c r="X319" s="173"/>
      <c r="Y319" s="173"/>
      <c r="Z319" s="173"/>
      <c r="AA319" s="173"/>
      <c r="AB319" s="173"/>
      <c r="AC319" s="173"/>
      <c r="AD319" s="173"/>
      <c r="AE319" s="173"/>
      <c r="AF319" s="173"/>
      <c r="AG319" s="173"/>
      <c r="AH319" s="173"/>
      <c r="AI319" s="173"/>
      <c r="AJ319" s="173"/>
      <c r="AK319" s="173"/>
      <c r="AL319" s="173"/>
      <c r="AM319" s="173"/>
      <c r="AN319" s="173"/>
      <c r="AO319" s="173"/>
      <c r="AP319" s="173"/>
      <c r="AQ319" s="173"/>
      <c r="AR319" s="173"/>
      <c r="AS319" s="173"/>
      <c r="AT319" s="173"/>
      <c r="AU319" s="173"/>
      <c r="AV319" s="173"/>
      <c r="AW319" s="173"/>
      <c r="AX319" s="173"/>
      <c r="AY319" s="173"/>
      <c r="AZ319" s="173"/>
      <c r="BA319" s="173"/>
      <c r="BB319" s="173"/>
      <c r="BC319" s="173"/>
      <c r="BD319" s="173"/>
      <c r="BE319" s="173"/>
      <c r="BF319" s="173"/>
      <c r="BG319" s="173"/>
      <c r="BH319" s="173"/>
      <c r="BI319" s="173"/>
      <c r="BJ319" s="173"/>
      <c r="BK319" s="173"/>
      <c r="BL319" s="173"/>
      <c r="BM319" s="173"/>
      <c r="BN319" s="173"/>
      <c r="BO319" s="173"/>
      <c r="BP319" s="173"/>
      <c r="BQ319" s="173"/>
      <c r="BR319" s="173"/>
      <c r="BS319" s="173"/>
      <c r="BT319" s="173"/>
      <c r="BU319" s="173"/>
      <c r="BV319" s="173"/>
      <c r="BW319" s="173"/>
      <c r="BX319" s="173"/>
      <c r="BY319" s="173"/>
      <c r="BZ319" s="173"/>
      <c r="CA319" s="173"/>
      <c r="CB319" s="173"/>
      <c r="CC319" s="173"/>
      <c r="CD319" s="173"/>
      <c r="CE319" s="173"/>
      <c r="CF319" s="173"/>
      <c r="CG319" s="173"/>
      <c r="CH319" s="173"/>
      <c r="CI319" s="173"/>
      <c r="CJ319" s="173"/>
      <c r="CK319" s="173"/>
      <c r="CL319" s="173"/>
      <c r="CM319" s="173"/>
      <c r="CN319" s="173"/>
      <c r="CO319" s="173"/>
      <c r="CP319" s="173"/>
      <c r="CQ319" s="173"/>
      <c r="CR319" s="173"/>
      <c r="CS319" s="173"/>
      <c r="CT319" s="173"/>
      <c r="CU319" s="173"/>
      <c r="CV319" s="173"/>
      <c r="CW319" s="173"/>
      <c r="CX319" s="173"/>
      <c r="CY319" s="173"/>
      <c r="CZ319" s="173"/>
      <c r="DA319" s="173"/>
      <c r="DB319" s="173"/>
      <c r="DC319" s="173"/>
      <c r="DD319" s="173"/>
      <c r="DE319" s="173"/>
      <c r="DF319" s="173"/>
      <c r="DG319" s="173"/>
      <c r="DH319" s="173"/>
      <c r="DI319" s="173"/>
      <c r="DJ319" s="173"/>
      <c r="DK319" s="173"/>
      <c r="DL319" s="173"/>
      <c r="DM319" s="173"/>
      <c r="DN319" s="173"/>
      <c r="DO319" s="173"/>
      <c r="DP319" s="173"/>
      <c r="DQ319" s="173"/>
      <c r="DR319" s="173"/>
      <c r="DS319" s="173"/>
      <c r="DT319" s="173"/>
      <c r="DU319" s="173"/>
      <c r="DV319" s="173"/>
      <c r="DW319" s="173"/>
      <c r="DX319" s="173"/>
      <c r="DY319" s="173"/>
      <c r="DZ319" s="173"/>
      <c r="EA319" s="173"/>
      <c r="EB319" s="173"/>
      <c r="EC319" s="173"/>
      <c r="ED319" s="173"/>
      <c r="EE319" s="173"/>
      <c r="EF319" s="173"/>
      <c r="EG319" s="173"/>
      <c r="EH319" s="173"/>
      <c r="EI319" s="173"/>
      <c r="EJ319" s="173"/>
      <c r="EK319" s="173"/>
      <c r="EL319" s="173"/>
      <c r="EM319" s="173"/>
      <c r="EN319" s="173"/>
      <c r="EO319" s="173"/>
      <c r="EP319" s="173"/>
      <c r="EQ319" s="173"/>
      <c r="ER319" s="173"/>
      <c r="ES319" s="173"/>
      <c r="ET319" s="173"/>
      <c r="EU319" s="173"/>
      <c r="EV319" s="173"/>
      <c r="EW319" s="173"/>
      <c r="EX319" s="173"/>
      <c r="EY319" s="173"/>
      <c r="EZ319" s="173"/>
      <c r="FA319" s="173"/>
      <c r="FB319" s="173"/>
      <c r="FC319" s="173"/>
      <c r="FD319" s="173"/>
      <c r="FE319" s="173"/>
      <c r="FF319" s="173"/>
      <c r="FG319" s="173"/>
      <c r="FH319" s="173"/>
      <c r="FI319" s="173"/>
      <c r="FJ319" s="173"/>
      <c r="FK319" s="173"/>
      <c r="FL319" s="173"/>
      <c r="FM319" s="173"/>
      <c r="FN319" s="173"/>
      <c r="FO319" s="173"/>
      <c r="FP319" s="173"/>
      <c r="FQ319" s="173"/>
      <c r="FR319" s="173"/>
      <c r="FS319" s="173"/>
      <c r="FT319" s="173"/>
      <c r="FU319" s="173"/>
      <c r="FV319" s="173"/>
      <c r="FW319" s="173"/>
      <c r="FX319" s="173"/>
      <c r="FY319" s="173"/>
      <c r="FZ319" s="173"/>
      <c r="GA319" s="173"/>
      <c r="GB319" s="173"/>
      <c r="GC319" s="173"/>
      <c r="GD319" s="173"/>
      <c r="GE319" s="173"/>
      <c r="GF319" s="173"/>
      <c r="GG319" s="173"/>
      <c r="GH319" s="173"/>
      <c r="GI319" s="173"/>
      <c r="GJ319" s="173"/>
      <c r="GK319" s="173"/>
      <c r="GL319" s="173"/>
      <c r="GM319" s="173"/>
      <c r="GN319" s="173"/>
      <c r="GO319" s="173"/>
      <c r="GP319" s="173"/>
      <c r="GQ319" s="173"/>
      <c r="GR319" s="173"/>
      <c r="GS319" s="173"/>
      <c r="GT319" s="173"/>
      <c r="GU319" s="173"/>
      <c r="GV319" s="173"/>
      <c r="GW319" s="173"/>
      <c r="GX319" s="173"/>
      <c r="GY319" s="173"/>
      <c r="GZ319" s="173"/>
      <c r="HA319" s="173"/>
      <c r="HB319" s="173"/>
      <c r="HC319" s="173"/>
      <c r="HD319" s="173"/>
      <c r="HE319" s="173"/>
      <c r="HF319" s="173"/>
      <c r="HG319" s="173"/>
      <c r="HH319" s="173"/>
      <c r="HI319" s="173"/>
      <c r="HJ319" s="173"/>
      <c r="HK319" s="173"/>
      <c r="HL319" s="173"/>
      <c r="HM319" s="173"/>
      <c r="HN319" s="173"/>
      <c r="HO319" s="173"/>
      <c r="HP319" s="173"/>
      <c r="HQ319" s="173"/>
      <c r="HR319" s="173"/>
      <c r="HS319" s="173"/>
      <c r="HT319" s="173"/>
      <c r="HU319" s="173"/>
      <c r="HV319" s="173"/>
      <c r="HW319" s="173"/>
      <c r="HX319" s="173"/>
      <c r="HY319" s="173"/>
      <c r="HZ319" s="173"/>
      <c r="IA319" s="173"/>
      <c r="IB319" s="173"/>
      <c r="IC319" s="173"/>
      <c r="ID319" s="173"/>
      <c r="IE319" s="173"/>
      <c r="IF319" s="173"/>
      <c r="IG319" s="173"/>
      <c r="IH319" s="173"/>
      <c r="II319" s="173"/>
      <c r="IJ319" s="173"/>
      <c r="IK319" s="173"/>
      <c r="IL319" s="173"/>
      <c r="IM319" s="173"/>
      <c r="IN319" s="173"/>
      <c r="IO319" s="173"/>
      <c r="IP319" s="173"/>
      <c r="IQ319" s="173"/>
      <c r="IR319" s="173"/>
      <c r="IS319" s="173"/>
      <c r="IT319" s="173"/>
      <c r="IU319" s="173"/>
      <c r="IV319" s="173"/>
      <c r="IW319" s="173"/>
      <c r="IX319" s="173"/>
      <c r="IY319" s="173"/>
      <c r="IZ319" s="173"/>
      <c r="JA319" s="173"/>
      <c r="JB319" s="173"/>
      <c r="JC319" s="173"/>
      <c r="JD319" s="173"/>
      <c r="JE319" s="173"/>
      <c r="JF319" s="173"/>
      <c r="JG319" s="173"/>
      <c r="JH319" s="173"/>
      <c r="JI319" s="173"/>
      <c r="JJ319" s="173"/>
      <c r="JK319" s="173"/>
      <c r="JL319" s="173"/>
      <c r="JM319" s="173"/>
      <c r="JN319" s="173"/>
      <c r="JO319" s="173"/>
      <c r="JP319" s="173"/>
      <c r="JQ319" s="173"/>
      <c r="JR319" s="173"/>
      <c r="JS319" s="173"/>
      <c r="JT319" s="173"/>
      <c r="JU319" s="173"/>
      <c r="JV319" s="173"/>
      <c r="JW319" s="173"/>
      <c r="JX319" s="173"/>
      <c r="JY319" s="173"/>
      <c r="JZ319" s="173"/>
      <c r="KA319" s="173"/>
      <c r="KB319" s="173"/>
      <c r="KC319" s="173"/>
      <c r="KD319" s="173"/>
      <c r="KE319" s="173"/>
      <c r="KF319" s="173"/>
      <c r="KG319" s="173"/>
      <c r="KH319" s="173"/>
      <c r="KI319" s="173"/>
      <c r="KJ319" s="173"/>
      <c r="KK319" s="173"/>
      <c r="KL319" s="173"/>
      <c r="KM319" s="173"/>
      <c r="KN319" s="173"/>
      <c r="KO319" s="173"/>
      <c r="KP319" s="173"/>
      <c r="KQ319" s="173"/>
      <c r="KR319" s="173"/>
      <c r="KS319" s="173"/>
      <c r="KT319" s="173"/>
      <c r="KU319" s="173"/>
      <c r="KV319" s="173"/>
      <c r="KW319" s="173"/>
      <c r="KX319" s="173"/>
      <c r="KY319" s="173"/>
      <c r="KZ319" s="173"/>
      <c r="LA319" s="173"/>
      <c r="LB319" s="173"/>
      <c r="LC319" s="173"/>
      <c r="LD319" s="173"/>
      <c r="LE319" s="173"/>
      <c r="LF319" s="173"/>
      <c r="LG319" s="173"/>
      <c r="LH319" s="173"/>
      <c r="LI319" s="173"/>
      <c r="LJ319" s="173"/>
      <c r="LK319" s="173"/>
      <c r="LL319" s="173"/>
      <c r="LM319" s="173"/>
      <c r="LN319" s="173"/>
      <c r="LO319" s="173"/>
      <c r="LP319" s="173"/>
      <c r="LQ319" s="173"/>
      <c r="LR319" s="173"/>
      <c r="LS319" s="173"/>
      <c r="LT319" s="173"/>
      <c r="LU319" s="173"/>
      <c r="LV319" s="173"/>
      <c r="LW319" s="173"/>
      <c r="LX319" s="173"/>
      <c r="LY319" s="173"/>
      <c r="LZ319" s="173"/>
      <c r="MA319" s="173"/>
      <c r="MB319" s="173"/>
      <c r="MC319" s="173"/>
      <c r="MD319" s="173"/>
      <c r="ME319" s="173"/>
      <c r="MF319" s="173"/>
      <c r="MG319" s="173"/>
      <c r="MH319" s="173"/>
      <c r="MI319" s="173"/>
      <c r="MJ319" s="173"/>
      <c r="MK319" s="173"/>
      <c r="ML319" s="173"/>
      <c r="MM319" s="173"/>
      <c r="MN319" s="173"/>
      <c r="MO319" s="173"/>
      <c r="MP319" s="173"/>
      <c r="MQ319" s="173"/>
      <c r="MR319" s="173"/>
      <c r="MS319" s="173"/>
      <c r="MT319" s="173"/>
      <c r="MU319" s="173"/>
      <c r="MV319" s="173"/>
      <c r="MW319" s="173"/>
      <c r="MX319" s="173"/>
      <c r="MY319" s="173"/>
      <c r="MZ319" s="173"/>
      <c r="NA319" s="173"/>
      <c r="NB319" s="173"/>
      <c r="NC319" s="173"/>
      <c r="ND319" s="173"/>
      <c r="NE319" s="173"/>
      <c r="NF319" s="173"/>
      <c r="NG319" s="173"/>
      <c r="NH319" s="173"/>
      <c r="NI319" s="173"/>
      <c r="NJ319" s="173"/>
      <c r="NK319" s="173"/>
      <c r="NL319" s="173"/>
      <c r="NM319" s="173"/>
      <c r="NN319" s="173"/>
      <c r="NO319" s="173"/>
      <c r="NP319" s="173"/>
      <c r="NQ319" s="173"/>
      <c r="NR319" s="173"/>
      <c r="NS319" s="173"/>
      <c r="NT319" s="173"/>
      <c r="NU319" s="173"/>
      <c r="NV319" s="173"/>
      <c r="NW319" s="173"/>
      <c r="NX319" s="173"/>
      <c r="NY319" s="173"/>
      <c r="NZ319" s="173"/>
      <c r="OA319" s="173"/>
      <c r="OB319" s="173"/>
      <c r="OC319" s="173"/>
      <c r="OD319" s="173"/>
      <c r="OE319" s="173"/>
      <c r="OF319" s="173"/>
      <c r="OG319" s="173"/>
      <c r="OH319" s="173"/>
      <c r="OI319" s="173"/>
      <c r="OJ319" s="173"/>
      <c r="OK319" s="173"/>
      <c r="OL319" s="173"/>
      <c r="OM319" s="173"/>
      <c r="ON319" s="173"/>
      <c r="OO319" s="173"/>
      <c r="OP319" s="173"/>
      <c r="OQ319" s="173"/>
      <c r="OR319" s="173"/>
      <c r="OS319" s="173"/>
      <c r="OT319" s="173"/>
      <c r="OU319" s="173"/>
      <c r="OV319" s="173"/>
      <c r="OW319" s="173"/>
      <c r="OX319" s="173"/>
      <c r="OY319" s="173"/>
      <c r="OZ319" s="173"/>
      <c r="PA319" s="173"/>
      <c r="PB319" s="173"/>
      <c r="PC319" s="173"/>
      <c r="PD319" s="173"/>
      <c r="PE319" s="173"/>
      <c r="PF319" s="173"/>
      <c r="PG319" s="173"/>
      <c r="PH319" s="173"/>
      <c r="PI319" s="173"/>
      <c r="PJ319" s="173"/>
      <c r="PK319" s="173"/>
      <c r="PL319" s="173"/>
      <c r="PM319" s="173"/>
      <c r="PN319" s="173"/>
      <c r="PO319" s="173"/>
      <c r="PP319" s="173"/>
      <c r="PQ319" s="173"/>
      <c r="PR319" s="173"/>
      <c r="PS319" s="173"/>
      <c r="PT319" s="173"/>
      <c r="PU319" s="173"/>
      <c r="PV319" s="173"/>
      <c r="PW319" s="173"/>
      <c r="PX319" s="173"/>
      <c r="PY319" s="173"/>
      <c r="PZ319" s="173"/>
      <c r="QA319" s="173"/>
      <c r="QB319" s="173"/>
      <c r="QC319" s="173"/>
      <c r="QD319" s="173"/>
      <c r="QE319" s="173"/>
      <c r="QF319" s="173"/>
      <c r="QG319" s="173"/>
      <c r="QH319" s="173"/>
      <c r="QI319" s="173"/>
      <c r="QJ319" s="173"/>
      <c r="QK319" s="173"/>
      <c r="QL319" s="173"/>
      <c r="QM319" s="173"/>
      <c r="QN319" s="173"/>
      <c r="QO319" s="173"/>
      <c r="QP319" s="173"/>
      <c r="QQ319" s="173"/>
      <c r="QR319" s="173"/>
      <c r="QS319" s="173"/>
      <c r="QT319" s="173"/>
      <c r="QU319" s="173"/>
      <c r="QV319" s="173"/>
      <c r="QW319" s="173"/>
      <c r="QX319" s="173"/>
      <c r="QY319" s="173"/>
      <c r="QZ319" s="173"/>
      <c r="RA319" s="173"/>
      <c r="RB319" s="173"/>
      <c r="RC319" s="173"/>
      <c r="RD319" s="173"/>
      <c r="RE319" s="173"/>
      <c r="RF319" s="173"/>
      <c r="RG319" s="173"/>
      <c r="RH319" s="173"/>
      <c r="RI319" s="173"/>
      <c r="RJ319" s="173"/>
      <c r="RK319" s="173"/>
      <c r="RL319" s="173"/>
      <c r="RM319" s="173"/>
      <c r="RN319" s="173"/>
      <c r="RO319" s="173"/>
      <c r="RP319" s="173"/>
      <c r="RQ319" s="173"/>
      <c r="RR319" s="173"/>
      <c r="RS319" s="173"/>
      <c r="RT319" s="173"/>
      <c r="RU319" s="173"/>
      <c r="RV319" s="173"/>
      <c r="RW319" s="173"/>
      <c r="RX319" s="173"/>
      <c r="RY319" s="173"/>
      <c r="RZ319" s="173"/>
      <c r="SA319" s="173"/>
      <c r="SB319" s="173"/>
      <c r="SC319" s="173"/>
      <c r="SD319" s="173"/>
      <c r="SE319" s="173"/>
      <c r="SF319" s="173"/>
      <c r="SG319" s="173"/>
      <c r="SH319" s="173"/>
      <c r="SI319" s="173"/>
      <c r="SJ319" s="173"/>
      <c r="SK319" s="173"/>
      <c r="SL319" s="173"/>
      <c r="SM319" s="173"/>
      <c r="SN319" s="173"/>
      <c r="SO319" s="173"/>
      <c r="SP319" s="173"/>
      <c r="SQ319" s="173"/>
      <c r="SR319" s="173"/>
      <c r="SS319" s="173"/>
      <c r="ST319" s="173"/>
      <c r="SU319" s="173"/>
      <c r="SV319" s="173"/>
      <c r="SW319" s="173"/>
      <c r="SX319" s="173"/>
      <c r="SY319" s="173"/>
      <c r="SZ319" s="173"/>
      <c r="TA319" s="173"/>
      <c r="TB319" s="173"/>
      <c r="TC319" s="173"/>
      <c r="TD319" s="173"/>
      <c r="TE319" s="173"/>
      <c r="TF319" s="173"/>
      <c r="TG319" s="173"/>
      <c r="TH319" s="173"/>
      <c r="TI319" s="173"/>
      <c r="TJ319" s="173"/>
      <c r="TK319" s="173"/>
      <c r="TL319" s="173"/>
      <c r="TM319" s="173"/>
      <c r="TN319" s="173"/>
      <c r="TO319" s="173"/>
      <c r="TP319" s="173"/>
      <c r="TQ319" s="173"/>
      <c r="TR319" s="173"/>
      <c r="TS319" s="173"/>
      <c r="TT319" s="173"/>
      <c r="TU319" s="173"/>
      <c r="TV319" s="173"/>
      <c r="TW319" s="173"/>
      <c r="TX319" s="173"/>
      <c r="TY319" s="173"/>
      <c r="TZ319" s="173"/>
      <c r="UA319" s="173"/>
      <c r="UB319" s="173"/>
      <c r="UC319" s="173"/>
      <c r="UD319" s="173"/>
      <c r="UE319" s="173"/>
      <c r="UF319" s="173"/>
      <c r="UG319" s="173"/>
      <c r="UH319" s="173"/>
      <c r="UI319" s="173"/>
      <c r="UJ319" s="173"/>
      <c r="UK319" s="173"/>
      <c r="UL319" s="173"/>
      <c r="UM319" s="173"/>
      <c r="UN319" s="173"/>
      <c r="UO319" s="173"/>
      <c r="UP319" s="173"/>
      <c r="UQ319" s="173"/>
      <c r="UR319" s="173"/>
      <c r="US319" s="173"/>
      <c r="UT319" s="173"/>
      <c r="UU319" s="173"/>
      <c r="UV319" s="173"/>
      <c r="UW319" s="173"/>
      <c r="UX319" s="173"/>
      <c r="UY319" s="173"/>
      <c r="UZ319" s="173"/>
      <c r="VA319" s="173"/>
      <c r="VB319" s="173"/>
      <c r="VC319" s="173"/>
      <c r="VD319" s="173"/>
      <c r="VE319" s="173"/>
      <c r="VF319" s="173"/>
      <c r="VG319" s="173"/>
      <c r="VH319" s="173"/>
      <c r="VI319" s="173"/>
      <c r="VJ319" s="173"/>
      <c r="VK319" s="173"/>
      <c r="VL319" s="173"/>
      <c r="VM319" s="173"/>
      <c r="VN319" s="173"/>
      <c r="VO319" s="173"/>
      <c r="VP319" s="173"/>
      <c r="VQ319" s="173"/>
      <c r="VR319" s="173"/>
      <c r="VS319" s="173"/>
      <c r="VT319" s="173"/>
      <c r="VU319" s="173"/>
      <c r="VV319" s="173"/>
      <c r="VW319" s="173"/>
      <c r="VX319" s="173"/>
      <c r="VY319" s="173"/>
      <c r="VZ319" s="173"/>
      <c r="WA319" s="173"/>
      <c r="WB319" s="173"/>
      <c r="WC319" s="173"/>
      <c r="WD319" s="173"/>
      <c r="WE319" s="173"/>
      <c r="WF319" s="173"/>
      <c r="WG319" s="173"/>
      <c r="WH319" s="173"/>
      <c r="WI319" s="173"/>
      <c r="WJ319" s="173"/>
      <c r="WK319" s="173"/>
      <c r="WL319" s="173"/>
      <c r="WM319" s="173"/>
      <c r="WN319" s="173"/>
      <c r="WO319" s="173"/>
      <c r="WP319" s="173"/>
    </row>
    <row r="320" spans="1:614">
      <c r="A320" s="173"/>
      <c r="B320" s="133" t="str">
        <f>Comb_scrd[[#Headers],[IBM Security Network Protection XGS 7100]]</f>
        <v>IBM Security Network Protection XGS 7100</v>
      </c>
      <c r="C320" s="180">
        <f>VLOOKUP(IPS_Security_table9[[#This Row],[Product]],Perf_table1[#All],2,FALSE)</f>
        <v>24194</v>
      </c>
      <c r="D320" s="181">
        <f>VLOOKUP(IPS_Security_table9[[#This Row],[Product]],IPS_security_table8[#All],5,FALSE)</f>
        <v>0.96755286090621706</v>
      </c>
      <c r="E320" s="173"/>
      <c r="G320" s="173"/>
      <c r="H320" s="173"/>
      <c r="I320" s="173"/>
      <c r="J320" s="173"/>
      <c r="K320" s="173"/>
      <c r="L320" s="173"/>
      <c r="M320" s="173"/>
      <c r="N320" s="173"/>
      <c r="O320" s="173"/>
      <c r="P320" s="173"/>
      <c r="Q320" s="173"/>
      <c r="R320" s="173"/>
      <c r="S320" s="173"/>
      <c r="T320" s="173"/>
      <c r="U320" s="173"/>
      <c r="V320" s="173"/>
      <c r="W320" s="173"/>
      <c r="X320" s="173"/>
      <c r="Y320" s="173"/>
      <c r="Z320" s="173"/>
      <c r="AA320" s="173"/>
      <c r="AB320" s="173"/>
      <c r="AC320" s="173"/>
      <c r="AD320" s="173"/>
      <c r="AE320" s="173"/>
      <c r="AF320" s="173"/>
      <c r="AG320" s="173"/>
      <c r="AH320" s="173"/>
      <c r="AI320" s="173"/>
      <c r="AJ320" s="173"/>
      <c r="AK320" s="173"/>
      <c r="AL320" s="173"/>
      <c r="AM320" s="173"/>
      <c r="AN320" s="173"/>
      <c r="AO320" s="173"/>
      <c r="AP320" s="173"/>
      <c r="AQ320" s="173"/>
      <c r="AR320" s="173"/>
      <c r="AS320" s="173"/>
      <c r="AT320" s="173"/>
      <c r="AU320" s="173"/>
      <c r="AV320" s="173"/>
      <c r="AW320" s="173"/>
      <c r="AX320" s="173"/>
      <c r="AY320" s="173"/>
      <c r="AZ320" s="173"/>
      <c r="BA320" s="173"/>
      <c r="BB320" s="173"/>
      <c r="BC320" s="173"/>
      <c r="BD320" s="173"/>
      <c r="BE320" s="173"/>
      <c r="BF320" s="173"/>
      <c r="BG320" s="173"/>
      <c r="BH320" s="173"/>
      <c r="BI320" s="173"/>
      <c r="BJ320" s="173"/>
      <c r="BK320" s="173"/>
      <c r="BL320" s="173"/>
      <c r="BM320" s="173"/>
      <c r="BN320" s="173"/>
      <c r="BO320" s="173"/>
      <c r="BP320" s="173"/>
      <c r="BQ320" s="173"/>
      <c r="BR320" s="173"/>
      <c r="BS320" s="173"/>
      <c r="BT320" s="173"/>
      <c r="BU320" s="173"/>
      <c r="BV320" s="173"/>
      <c r="BW320" s="173"/>
      <c r="BX320" s="173"/>
      <c r="BY320" s="173"/>
      <c r="BZ320" s="173"/>
      <c r="CA320" s="173"/>
      <c r="CB320" s="173"/>
      <c r="CC320" s="173"/>
      <c r="CD320" s="173"/>
      <c r="CE320" s="173"/>
      <c r="CF320" s="173"/>
      <c r="CG320" s="173"/>
      <c r="CH320" s="173"/>
      <c r="CI320" s="173"/>
      <c r="CJ320" s="173"/>
      <c r="CK320" s="173"/>
      <c r="CL320" s="173"/>
      <c r="CM320" s="173"/>
      <c r="CN320" s="173"/>
      <c r="CO320" s="173"/>
      <c r="CP320" s="173"/>
      <c r="CQ320" s="173"/>
      <c r="CR320" s="173"/>
      <c r="CS320" s="173"/>
      <c r="CT320" s="173"/>
      <c r="CU320" s="173"/>
      <c r="CV320" s="173"/>
      <c r="CW320" s="173"/>
      <c r="CX320" s="173"/>
      <c r="CY320" s="173"/>
      <c r="CZ320" s="173"/>
      <c r="DA320" s="173"/>
      <c r="DB320" s="173"/>
      <c r="DC320" s="173"/>
      <c r="DD320" s="173"/>
      <c r="DE320" s="173"/>
      <c r="DF320" s="173"/>
      <c r="DG320" s="173"/>
      <c r="DH320" s="173"/>
      <c r="DI320" s="173"/>
      <c r="DJ320" s="173"/>
      <c r="DK320" s="173"/>
      <c r="DL320" s="173"/>
      <c r="DM320" s="173"/>
      <c r="DN320" s="173"/>
      <c r="DO320" s="173"/>
      <c r="DP320" s="173"/>
      <c r="DQ320" s="173"/>
      <c r="DR320" s="173"/>
      <c r="DS320" s="173"/>
      <c r="DT320" s="173"/>
      <c r="DU320" s="173"/>
      <c r="DV320" s="173"/>
      <c r="DW320" s="173"/>
      <c r="DX320" s="173"/>
      <c r="DY320" s="173"/>
      <c r="DZ320" s="173"/>
      <c r="EA320" s="173"/>
      <c r="EB320" s="173"/>
      <c r="EC320" s="173"/>
      <c r="ED320" s="173"/>
      <c r="EE320" s="173"/>
      <c r="EF320" s="173"/>
      <c r="EG320" s="173"/>
      <c r="EH320" s="173"/>
      <c r="EI320" s="173"/>
      <c r="EJ320" s="173"/>
      <c r="EK320" s="173"/>
      <c r="EL320" s="173"/>
      <c r="EM320" s="173"/>
      <c r="EN320" s="173"/>
      <c r="EO320" s="173"/>
      <c r="EP320" s="173"/>
      <c r="EQ320" s="173"/>
      <c r="ER320" s="173"/>
      <c r="ES320" s="173"/>
      <c r="ET320" s="173"/>
      <c r="EU320" s="173"/>
      <c r="EV320" s="173"/>
      <c r="EW320" s="173"/>
      <c r="EX320" s="173"/>
      <c r="EY320" s="173"/>
      <c r="EZ320" s="173"/>
      <c r="FA320" s="173"/>
      <c r="FB320" s="173"/>
      <c r="FC320" s="173"/>
      <c r="FD320" s="173"/>
      <c r="FE320" s="173"/>
      <c r="FF320" s="173"/>
      <c r="FG320" s="173"/>
      <c r="FH320" s="173"/>
      <c r="FI320" s="173"/>
      <c r="FJ320" s="173"/>
      <c r="FK320" s="173"/>
      <c r="FL320" s="173"/>
      <c r="FM320" s="173"/>
      <c r="FN320" s="173"/>
      <c r="FO320" s="173"/>
      <c r="FP320" s="173"/>
      <c r="FQ320" s="173"/>
      <c r="FR320" s="173"/>
      <c r="FS320" s="173"/>
      <c r="FT320" s="173"/>
      <c r="FU320" s="173"/>
      <c r="FV320" s="173"/>
      <c r="FW320" s="173"/>
      <c r="FX320" s="173"/>
      <c r="FY320" s="173"/>
      <c r="FZ320" s="173"/>
      <c r="GA320" s="173"/>
      <c r="GB320" s="173"/>
      <c r="GC320" s="173"/>
      <c r="GD320" s="173"/>
      <c r="GE320" s="173"/>
      <c r="GF320" s="173"/>
      <c r="GG320" s="173"/>
      <c r="GH320" s="173"/>
      <c r="GI320" s="173"/>
      <c r="GJ320" s="173"/>
      <c r="GK320" s="173"/>
      <c r="GL320" s="173"/>
      <c r="GM320" s="173"/>
      <c r="GN320" s="173"/>
      <c r="GO320" s="173"/>
      <c r="GP320" s="173"/>
      <c r="GQ320" s="173"/>
      <c r="GR320" s="173"/>
      <c r="GS320" s="173"/>
      <c r="GT320" s="173"/>
      <c r="GU320" s="173"/>
      <c r="GV320" s="173"/>
      <c r="GW320" s="173"/>
      <c r="GX320" s="173"/>
      <c r="GY320" s="173"/>
      <c r="GZ320" s="173"/>
      <c r="HA320" s="173"/>
      <c r="HB320" s="173"/>
      <c r="HC320" s="173"/>
      <c r="HD320" s="173"/>
      <c r="HE320" s="173"/>
      <c r="HF320" s="173"/>
      <c r="HG320" s="173"/>
      <c r="HH320" s="173"/>
      <c r="HI320" s="173"/>
      <c r="HJ320" s="173"/>
      <c r="HK320" s="173"/>
      <c r="HL320" s="173"/>
      <c r="HM320" s="173"/>
      <c r="HN320" s="173"/>
      <c r="HO320" s="173"/>
      <c r="HP320" s="173"/>
      <c r="HQ320" s="173"/>
      <c r="HR320" s="173"/>
      <c r="HS320" s="173"/>
      <c r="HT320" s="173"/>
      <c r="HU320" s="173"/>
      <c r="HV320" s="173"/>
      <c r="HW320" s="173"/>
      <c r="HX320" s="173"/>
      <c r="HY320" s="173"/>
      <c r="HZ320" s="173"/>
      <c r="IA320" s="173"/>
      <c r="IB320" s="173"/>
      <c r="IC320" s="173"/>
      <c r="ID320" s="173"/>
      <c r="IE320" s="173"/>
      <c r="IF320" s="173"/>
      <c r="IG320" s="173"/>
      <c r="IH320" s="173"/>
      <c r="II320" s="173"/>
      <c r="IJ320" s="173"/>
      <c r="IK320" s="173"/>
      <c r="IL320" s="173"/>
      <c r="IM320" s="173"/>
      <c r="IN320" s="173"/>
      <c r="IO320" s="173"/>
      <c r="IP320" s="173"/>
      <c r="IQ320" s="173"/>
      <c r="IR320" s="173"/>
      <c r="IS320" s="173"/>
      <c r="IT320" s="173"/>
      <c r="IU320" s="173"/>
      <c r="IV320" s="173"/>
      <c r="IW320" s="173"/>
      <c r="IX320" s="173"/>
      <c r="IY320" s="173"/>
      <c r="IZ320" s="173"/>
      <c r="JA320" s="173"/>
      <c r="JB320" s="173"/>
      <c r="JC320" s="173"/>
      <c r="JD320" s="173"/>
      <c r="JE320" s="173"/>
      <c r="JF320" s="173"/>
      <c r="JG320" s="173"/>
      <c r="JH320" s="173"/>
      <c r="JI320" s="173"/>
      <c r="JJ320" s="173"/>
      <c r="JK320" s="173"/>
      <c r="JL320" s="173"/>
      <c r="JM320" s="173"/>
      <c r="JN320" s="173"/>
      <c r="JO320" s="173"/>
      <c r="JP320" s="173"/>
      <c r="JQ320" s="173"/>
      <c r="JR320" s="173"/>
      <c r="JS320" s="173"/>
      <c r="JT320" s="173"/>
      <c r="JU320" s="173"/>
      <c r="JV320" s="173"/>
      <c r="JW320" s="173"/>
      <c r="JX320" s="173"/>
      <c r="JY320" s="173"/>
      <c r="JZ320" s="173"/>
      <c r="KA320" s="173"/>
      <c r="KB320" s="173"/>
      <c r="KC320" s="173"/>
      <c r="KD320" s="173"/>
      <c r="KE320" s="173"/>
      <c r="KF320" s="173"/>
      <c r="KG320" s="173"/>
      <c r="KH320" s="173"/>
      <c r="KI320" s="173"/>
      <c r="KJ320" s="173"/>
      <c r="KK320" s="173"/>
      <c r="KL320" s="173"/>
      <c r="KM320" s="173"/>
      <c r="KN320" s="173"/>
      <c r="KO320" s="173"/>
      <c r="KP320" s="173"/>
      <c r="KQ320" s="173"/>
      <c r="KR320" s="173"/>
      <c r="KS320" s="173"/>
      <c r="KT320" s="173"/>
      <c r="KU320" s="173"/>
      <c r="KV320" s="173"/>
      <c r="KW320" s="173"/>
      <c r="KX320" s="173"/>
      <c r="KY320" s="173"/>
      <c r="KZ320" s="173"/>
      <c r="LA320" s="173"/>
      <c r="LB320" s="173"/>
      <c r="LC320" s="173"/>
      <c r="LD320" s="173"/>
      <c r="LE320" s="173"/>
      <c r="LF320" s="173"/>
      <c r="LG320" s="173"/>
      <c r="LH320" s="173"/>
      <c r="LI320" s="173"/>
      <c r="LJ320" s="173"/>
      <c r="LK320" s="173"/>
      <c r="LL320" s="173"/>
      <c r="LM320" s="173"/>
      <c r="LN320" s="173"/>
      <c r="LO320" s="173"/>
      <c r="LP320" s="173"/>
      <c r="LQ320" s="173"/>
      <c r="LR320" s="173"/>
      <c r="LS320" s="173"/>
      <c r="LT320" s="173"/>
      <c r="LU320" s="173"/>
      <c r="LV320" s="173"/>
      <c r="LW320" s="173"/>
      <c r="LX320" s="173"/>
      <c r="LY320" s="173"/>
      <c r="LZ320" s="173"/>
      <c r="MA320" s="173"/>
      <c r="MB320" s="173"/>
      <c r="MC320" s="173"/>
      <c r="MD320" s="173"/>
      <c r="ME320" s="173"/>
      <c r="MF320" s="173"/>
      <c r="MG320" s="173"/>
      <c r="MH320" s="173"/>
      <c r="MI320" s="173"/>
      <c r="MJ320" s="173"/>
      <c r="MK320" s="173"/>
      <c r="ML320" s="173"/>
      <c r="MM320" s="173"/>
      <c r="MN320" s="173"/>
      <c r="MO320" s="173"/>
      <c r="MP320" s="173"/>
      <c r="MQ320" s="173"/>
      <c r="MR320" s="173"/>
      <c r="MS320" s="173"/>
      <c r="MT320" s="173"/>
      <c r="MU320" s="173"/>
      <c r="MV320" s="173"/>
      <c r="MW320" s="173"/>
      <c r="MX320" s="173"/>
      <c r="MY320" s="173"/>
      <c r="MZ320" s="173"/>
      <c r="NA320" s="173"/>
      <c r="NB320" s="173"/>
      <c r="NC320" s="173"/>
      <c r="ND320" s="173"/>
      <c r="NE320" s="173"/>
      <c r="NF320" s="173"/>
      <c r="NG320" s="173"/>
      <c r="NH320" s="173"/>
      <c r="NI320" s="173"/>
      <c r="NJ320" s="173"/>
      <c r="NK320" s="173"/>
      <c r="NL320" s="173"/>
      <c r="NM320" s="173"/>
      <c r="NN320" s="173"/>
      <c r="NO320" s="173"/>
      <c r="NP320" s="173"/>
      <c r="NQ320" s="173"/>
      <c r="NR320" s="173"/>
      <c r="NS320" s="173"/>
      <c r="NT320" s="173"/>
      <c r="NU320" s="173"/>
      <c r="NV320" s="173"/>
      <c r="NW320" s="173"/>
      <c r="NX320" s="173"/>
      <c r="NY320" s="173"/>
      <c r="NZ320" s="173"/>
      <c r="OA320" s="173"/>
      <c r="OB320" s="173"/>
      <c r="OC320" s="173"/>
      <c r="OD320" s="173"/>
      <c r="OE320" s="173"/>
      <c r="OF320" s="173"/>
      <c r="OG320" s="173"/>
      <c r="OH320" s="173"/>
      <c r="OI320" s="173"/>
      <c r="OJ320" s="173"/>
      <c r="OK320" s="173"/>
      <c r="OL320" s="173"/>
      <c r="OM320" s="173"/>
      <c r="ON320" s="173"/>
      <c r="OO320" s="173"/>
      <c r="OP320" s="173"/>
      <c r="OQ320" s="173"/>
      <c r="OR320" s="173"/>
      <c r="OS320" s="173"/>
      <c r="OT320" s="173"/>
      <c r="OU320" s="173"/>
      <c r="OV320" s="173"/>
      <c r="OW320" s="173"/>
      <c r="OX320" s="173"/>
      <c r="OY320" s="173"/>
      <c r="OZ320" s="173"/>
      <c r="PA320" s="173"/>
      <c r="PB320" s="173"/>
      <c r="PC320" s="173"/>
      <c r="PD320" s="173"/>
      <c r="PE320" s="173"/>
      <c r="PF320" s="173"/>
      <c r="PG320" s="173"/>
      <c r="PH320" s="173"/>
      <c r="PI320" s="173"/>
      <c r="PJ320" s="173"/>
      <c r="PK320" s="173"/>
      <c r="PL320" s="173"/>
      <c r="PM320" s="173"/>
      <c r="PN320" s="173"/>
      <c r="PO320" s="173"/>
      <c r="PP320" s="173"/>
      <c r="PQ320" s="173"/>
      <c r="PR320" s="173"/>
      <c r="PS320" s="173"/>
      <c r="PT320" s="173"/>
      <c r="PU320" s="173"/>
      <c r="PV320" s="173"/>
      <c r="PW320" s="173"/>
      <c r="PX320" s="173"/>
      <c r="PY320" s="173"/>
      <c r="PZ320" s="173"/>
      <c r="QA320" s="173"/>
      <c r="QB320" s="173"/>
      <c r="QC320" s="173"/>
      <c r="QD320" s="173"/>
      <c r="QE320" s="173"/>
      <c r="QF320" s="173"/>
      <c r="QG320" s="173"/>
      <c r="QH320" s="173"/>
      <c r="QI320" s="173"/>
      <c r="QJ320" s="173"/>
      <c r="QK320" s="173"/>
      <c r="QL320" s="173"/>
      <c r="QM320" s="173"/>
      <c r="QN320" s="173"/>
      <c r="QO320" s="173"/>
      <c r="QP320" s="173"/>
      <c r="QQ320" s="173"/>
      <c r="QR320" s="173"/>
      <c r="QS320" s="173"/>
      <c r="QT320" s="173"/>
      <c r="QU320" s="173"/>
      <c r="QV320" s="173"/>
      <c r="QW320" s="173"/>
      <c r="QX320" s="173"/>
      <c r="QY320" s="173"/>
      <c r="QZ320" s="173"/>
      <c r="RA320" s="173"/>
      <c r="RB320" s="173"/>
      <c r="RC320" s="173"/>
      <c r="RD320" s="173"/>
      <c r="RE320" s="173"/>
      <c r="RF320" s="173"/>
      <c r="RG320" s="173"/>
      <c r="RH320" s="173"/>
      <c r="RI320" s="173"/>
      <c r="RJ320" s="173"/>
      <c r="RK320" s="173"/>
      <c r="RL320" s="173"/>
      <c r="RM320" s="173"/>
      <c r="RN320" s="173"/>
      <c r="RO320" s="173"/>
      <c r="RP320" s="173"/>
      <c r="RQ320" s="173"/>
      <c r="RR320" s="173"/>
      <c r="RS320" s="173"/>
      <c r="RT320" s="173"/>
      <c r="RU320" s="173"/>
      <c r="RV320" s="173"/>
      <c r="RW320" s="173"/>
      <c r="RX320" s="173"/>
      <c r="RY320" s="173"/>
      <c r="RZ320" s="173"/>
      <c r="SA320" s="173"/>
      <c r="SB320" s="173"/>
      <c r="SC320" s="173"/>
      <c r="SD320" s="173"/>
      <c r="SE320" s="173"/>
      <c r="SF320" s="173"/>
      <c r="SG320" s="173"/>
      <c r="SH320" s="173"/>
      <c r="SI320" s="173"/>
      <c r="SJ320" s="173"/>
      <c r="SK320" s="173"/>
      <c r="SL320" s="173"/>
      <c r="SM320" s="173"/>
      <c r="SN320" s="173"/>
      <c r="SO320" s="173"/>
      <c r="SP320" s="173"/>
      <c r="SQ320" s="173"/>
      <c r="SR320" s="173"/>
      <c r="SS320" s="173"/>
      <c r="ST320" s="173"/>
      <c r="SU320" s="173"/>
      <c r="SV320" s="173"/>
      <c r="SW320" s="173"/>
      <c r="SX320" s="173"/>
      <c r="SY320" s="173"/>
      <c r="SZ320" s="173"/>
      <c r="TA320" s="173"/>
      <c r="TB320" s="173"/>
      <c r="TC320" s="173"/>
      <c r="TD320" s="173"/>
      <c r="TE320" s="173"/>
      <c r="TF320" s="173"/>
      <c r="TG320" s="173"/>
      <c r="TH320" s="173"/>
      <c r="TI320" s="173"/>
      <c r="TJ320" s="173"/>
      <c r="TK320" s="173"/>
      <c r="TL320" s="173"/>
      <c r="TM320" s="173"/>
      <c r="TN320" s="173"/>
      <c r="TO320" s="173"/>
      <c r="TP320" s="173"/>
      <c r="TQ320" s="173"/>
      <c r="TR320" s="173"/>
      <c r="TS320" s="173"/>
      <c r="TT320" s="173"/>
      <c r="TU320" s="173"/>
      <c r="TV320" s="173"/>
      <c r="TW320" s="173"/>
      <c r="TX320" s="173"/>
      <c r="TY320" s="173"/>
      <c r="TZ320" s="173"/>
      <c r="UA320" s="173"/>
      <c r="UB320" s="173"/>
      <c r="UC320" s="173"/>
      <c r="UD320" s="173"/>
      <c r="UE320" s="173"/>
      <c r="UF320" s="173"/>
      <c r="UG320" s="173"/>
      <c r="UH320" s="173"/>
      <c r="UI320" s="173"/>
      <c r="UJ320" s="173"/>
      <c r="UK320" s="173"/>
      <c r="UL320" s="173"/>
      <c r="UM320" s="173"/>
      <c r="UN320" s="173"/>
      <c r="UO320" s="173"/>
      <c r="UP320" s="173"/>
      <c r="UQ320" s="173"/>
      <c r="UR320" s="173"/>
      <c r="US320" s="173"/>
      <c r="UT320" s="173"/>
      <c r="UU320" s="173"/>
      <c r="UV320" s="173"/>
      <c r="UW320" s="173"/>
      <c r="UX320" s="173"/>
      <c r="UY320" s="173"/>
      <c r="UZ320" s="173"/>
      <c r="VA320" s="173"/>
      <c r="VB320" s="173"/>
      <c r="VC320" s="173"/>
      <c r="VD320" s="173"/>
      <c r="VE320" s="173"/>
      <c r="VF320" s="173"/>
      <c r="VG320" s="173"/>
      <c r="VH320" s="173"/>
      <c r="VI320" s="173"/>
      <c r="VJ320" s="173"/>
      <c r="VK320" s="173"/>
      <c r="VL320" s="173"/>
      <c r="VM320" s="173"/>
      <c r="VN320" s="173"/>
      <c r="VO320" s="173"/>
      <c r="VP320" s="173"/>
      <c r="VQ320" s="173"/>
      <c r="VR320" s="173"/>
      <c r="VS320" s="173"/>
      <c r="VT320" s="173"/>
      <c r="VU320" s="173"/>
      <c r="VV320" s="173"/>
      <c r="VW320" s="173"/>
      <c r="VX320" s="173"/>
      <c r="VY320" s="173"/>
      <c r="VZ320" s="173"/>
      <c r="WA320" s="173"/>
      <c r="WB320" s="173"/>
      <c r="WC320" s="173"/>
      <c r="WD320" s="173"/>
      <c r="WE320" s="173"/>
      <c r="WF320" s="173"/>
      <c r="WG320" s="173"/>
      <c r="WH320" s="173"/>
      <c r="WI320" s="173"/>
      <c r="WJ320" s="173"/>
      <c r="WK320" s="173"/>
      <c r="WL320" s="173"/>
      <c r="WM320" s="173"/>
      <c r="WN320" s="173"/>
      <c r="WO320" s="173"/>
      <c r="WP320" s="173"/>
    </row>
    <row r="321" spans="1:614">
      <c r="A321" s="173"/>
      <c r="B321" s="133" t="str">
        <f>Comb_scrd[[#Headers],[Palo Alto Networks PA-5020]]</f>
        <v>Palo Alto Networks PA-5020</v>
      </c>
      <c r="C321" s="180">
        <f>VLOOKUP(IPS_Security_table9[[#This Row],[Product]],Perf_table1[#All],2,FALSE)</f>
        <v>2972.82</v>
      </c>
      <c r="D321" s="181">
        <f>VLOOKUP(IPS_Security_table9[[#This Row],[Product]],IPS_security_table8[#All],5,FALSE)</f>
        <v>0.987881981032666</v>
      </c>
      <c r="E321" s="173"/>
      <c r="G321" s="173"/>
      <c r="H321" s="173"/>
      <c r="I321" s="173"/>
      <c r="J321" s="173"/>
      <c r="K321" s="173"/>
      <c r="L321" s="173"/>
      <c r="M321" s="173"/>
      <c r="N321" s="173"/>
      <c r="O321" s="173"/>
      <c r="P321" s="173"/>
      <c r="Q321" s="173"/>
      <c r="R321" s="173"/>
      <c r="S321" s="173"/>
      <c r="T321" s="173"/>
      <c r="U321" s="173"/>
      <c r="V321" s="173"/>
      <c r="W321" s="173"/>
      <c r="X321" s="173"/>
      <c r="Y321" s="173"/>
      <c r="Z321" s="173"/>
      <c r="AA321" s="173"/>
      <c r="AB321" s="173"/>
      <c r="AC321" s="173"/>
      <c r="AD321" s="173"/>
      <c r="AE321" s="173"/>
      <c r="AF321" s="173"/>
      <c r="AG321" s="173"/>
      <c r="AH321" s="173"/>
      <c r="AI321" s="173"/>
      <c r="AJ321" s="173"/>
      <c r="AK321" s="173"/>
      <c r="AL321" s="173"/>
      <c r="AM321" s="173"/>
      <c r="AN321" s="173"/>
      <c r="AO321" s="173"/>
      <c r="AP321" s="173"/>
      <c r="AQ321" s="173"/>
      <c r="AR321" s="173"/>
      <c r="AS321" s="173"/>
      <c r="AT321" s="173"/>
      <c r="AU321" s="173"/>
      <c r="AV321" s="173"/>
      <c r="AW321" s="173"/>
      <c r="AX321" s="173"/>
      <c r="AY321" s="173"/>
      <c r="AZ321" s="173"/>
      <c r="BA321" s="173"/>
      <c r="BB321" s="173"/>
      <c r="BC321" s="173"/>
      <c r="BD321" s="173"/>
      <c r="BE321" s="173"/>
      <c r="BF321" s="173"/>
      <c r="BG321" s="173"/>
      <c r="BH321" s="173"/>
      <c r="BI321" s="173"/>
      <c r="BJ321" s="173"/>
      <c r="BK321" s="173"/>
      <c r="BL321" s="173"/>
      <c r="BM321" s="173"/>
      <c r="BN321" s="173"/>
      <c r="BO321" s="173"/>
      <c r="BP321" s="173"/>
      <c r="BQ321" s="173"/>
      <c r="BR321" s="173"/>
      <c r="BS321" s="173"/>
      <c r="BT321" s="173"/>
      <c r="BU321" s="173"/>
      <c r="BV321" s="173"/>
      <c r="BW321" s="173"/>
      <c r="BX321" s="173"/>
      <c r="BY321" s="173"/>
      <c r="BZ321" s="173"/>
      <c r="CA321" s="173"/>
      <c r="CB321" s="173"/>
      <c r="CC321" s="173"/>
      <c r="CD321" s="173"/>
      <c r="CE321" s="173"/>
      <c r="CF321" s="173"/>
      <c r="CG321" s="173"/>
      <c r="CH321" s="173"/>
      <c r="CI321" s="173"/>
      <c r="CJ321" s="173"/>
      <c r="CK321" s="173"/>
      <c r="CL321" s="173"/>
      <c r="CM321" s="173"/>
      <c r="CN321" s="173"/>
      <c r="CO321" s="173"/>
      <c r="CP321" s="173"/>
      <c r="CQ321" s="173"/>
      <c r="CR321" s="173"/>
      <c r="CS321" s="173"/>
      <c r="CT321" s="173"/>
      <c r="CU321" s="173"/>
      <c r="CV321" s="173"/>
      <c r="CW321" s="173"/>
      <c r="CX321" s="173"/>
      <c r="CY321" s="173"/>
      <c r="CZ321" s="173"/>
      <c r="DA321" s="173"/>
      <c r="DB321" s="173"/>
      <c r="DC321" s="173"/>
      <c r="DD321" s="173"/>
      <c r="DE321" s="173"/>
      <c r="DF321" s="173"/>
      <c r="DG321" s="173"/>
      <c r="DH321" s="173"/>
      <c r="DI321" s="173"/>
      <c r="DJ321" s="173"/>
      <c r="DK321" s="173"/>
      <c r="DL321" s="173"/>
      <c r="DM321" s="173"/>
      <c r="DN321" s="173"/>
      <c r="DO321" s="173"/>
      <c r="DP321" s="173"/>
      <c r="DQ321" s="173"/>
      <c r="DR321" s="173"/>
      <c r="DS321" s="173"/>
      <c r="DT321" s="173"/>
      <c r="DU321" s="173"/>
      <c r="DV321" s="173"/>
      <c r="DW321" s="173"/>
      <c r="DX321" s="173"/>
      <c r="DY321" s="173"/>
      <c r="DZ321" s="173"/>
      <c r="EA321" s="173"/>
      <c r="EB321" s="173"/>
      <c r="EC321" s="173"/>
      <c r="ED321" s="173"/>
      <c r="EE321" s="173"/>
      <c r="EF321" s="173"/>
      <c r="EG321" s="173"/>
      <c r="EH321" s="173"/>
      <c r="EI321" s="173"/>
      <c r="EJ321" s="173"/>
      <c r="EK321" s="173"/>
      <c r="EL321" s="173"/>
      <c r="EM321" s="173"/>
      <c r="EN321" s="173"/>
      <c r="EO321" s="173"/>
      <c r="EP321" s="173"/>
      <c r="EQ321" s="173"/>
      <c r="ER321" s="173"/>
      <c r="ES321" s="173"/>
      <c r="ET321" s="173"/>
      <c r="EU321" s="173"/>
      <c r="EV321" s="173"/>
      <c r="EW321" s="173"/>
      <c r="EX321" s="173"/>
      <c r="EY321" s="173"/>
      <c r="EZ321" s="173"/>
      <c r="FA321" s="173"/>
      <c r="FB321" s="173"/>
      <c r="FC321" s="173"/>
      <c r="FD321" s="173"/>
      <c r="FE321" s="173"/>
      <c r="FF321" s="173"/>
      <c r="FG321" s="173"/>
      <c r="FH321" s="173"/>
      <c r="FI321" s="173"/>
      <c r="FJ321" s="173"/>
      <c r="FK321" s="173"/>
      <c r="FL321" s="173"/>
      <c r="FM321" s="173"/>
      <c r="FN321" s="173"/>
      <c r="FO321" s="173"/>
      <c r="FP321" s="173"/>
      <c r="FQ321" s="173"/>
      <c r="FR321" s="173"/>
      <c r="FS321" s="173"/>
      <c r="FT321" s="173"/>
      <c r="FU321" s="173"/>
      <c r="FV321" s="173"/>
      <c r="FW321" s="173"/>
      <c r="FX321" s="173"/>
      <c r="FY321" s="173"/>
      <c r="FZ321" s="173"/>
      <c r="GA321" s="173"/>
      <c r="GB321" s="173"/>
      <c r="GC321" s="173"/>
      <c r="GD321" s="173"/>
      <c r="GE321" s="173"/>
      <c r="GF321" s="173"/>
      <c r="GG321" s="173"/>
      <c r="GH321" s="173"/>
      <c r="GI321" s="173"/>
      <c r="GJ321" s="173"/>
      <c r="GK321" s="173"/>
      <c r="GL321" s="173"/>
      <c r="GM321" s="173"/>
      <c r="GN321" s="173"/>
      <c r="GO321" s="173"/>
      <c r="GP321" s="173"/>
      <c r="GQ321" s="173"/>
      <c r="GR321" s="173"/>
      <c r="GS321" s="173"/>
      <c r="GT321" s="173"/>
      <c r="GU321" s="173"/>
      <c r="GV321" s="173"/>
      <c r="GW321" s="173"/>
      <c r="GX321" s="173"/>
      <c r="GY321" s="173"/>
      <c r="GZ321" s="173"/>
      <c r="HA321" s="173"/>
      <c r="HB321" s="173"/>
      <c r="HC321" s="173"/>
      <c r="HD321" s="173"/>
      <c r="HE321" s="173"/>
      <c r="HF321" s="173"/>
      <c r="HG321" s="173"/>
      <c r="HH321" s="173"/>
      <c r="HI321" s="173"/>
      <c r="HJ321" s="173"/>
      <c r="HK321" s="173"/>
      <c r="HL321" s="173"/>
      <c r="HM321" s="173"/>
      <c r="HN321" s="173"/>
      <c r="HO321" s="173"/>
      <c r="HP321" s="173"/>
      <c r="HQ321" s="173"/>
      <c r="HR321" s="173"/>
      <c r="HS321" s="173"/>
      <c r="HT321" s="173"/>
      <c r="HU321" s="173"/>
      <c r="HV321" s="173"/>
      <c r="HW321" s="173"/>
      <c r="HX321" s="173"/>
      <c r="HY321" s="173"/>
      <c r="HZ321" s="173"/>
      <c r="IA321" s="173"/>
      <c r="IB321" s="173"/>
      <c r="IC321" s="173"/>
      <c r="ID321" s="173"/>
      <c r="IE321" s="173"/>
      <c r="IF321" s="173"/>
      <c r="IG321" s="173"/>
      <c r="IH321" s="173"/>
      <c r="II321" s="173"/>
      <c r="IJ321" s="173"/>
      <c r="IK321" s="173"/>
      <c r="IL321" s="173"/>
      <c r="IM321" s="173"/>
      <c r="IN321" s="173"/>
      <c r="IO321" s="173"/>
      <c r="IP321" s="173"/>
      <c r="IQ321" s="173"/>
      <c r="IR321" s="173"/>
      <c r="IS321" s="173"/>
      <c r="IT321" s="173"/>
      <c r="IU321" s="173"/>
      <c r="IV321" s="173"/>
      <c r="IW321" s="173"/>
      <c r="IX321" s="173"/>
      <c r="IY321" s="173"/>
      <c r="IZ321" s="173"/>
      <c r="JA321" s="173"/>
      <c r="JB321" s="173"/>
      <c r="JC321" s="173"/>
      <c r="JD321" s="173"/>
      <c r="JE321" s="173"/>
      <c r="JF321" s="173"/>
      <c r="JG321" s="173"/>
      <c r="JH321" s="173"/>
      <c r="JI321" s="173"/>
      <c r="JJ321" s="173"/>
      <c r="JK321" s="173"/>
      <c r="JL321" s="173"/>
      <c r="JM321" s="173"/>
      <c r="JN321" s="173"/>
      <c r="JO321" s="173"/>
      <c r="JP321" s="173"/>
      <c r="JQ321" s="173"/>
      <c r="JR321" s="173"/>
      <c r="JS321" s="173"/>
      <c r="JT321" s="173"/>
      <c r="JU321" s="173"/>
      <c r="JV321" s="173"/>
      <c r="JW321" s="173"/>
      <c r="JX321" s="173"/>
      <c r="JY321" s="173"/>
      <c r="JZ321" s="173"/>
      <c r="KA321" s="173"/>
      <c r="KB321" s="173"/>
      <c r="KC321" s="173"/>
      <c r="KD321" s="173"/>
      <c r="KE321" s="173"/>
      <c r="KF321" s="173"/>
      <c r="KG321" s="173"/>
      <c r="KH321" s="173"/>
      <c r="KI321" s="173"/>
      <c r="KJ321" s="173"/>
      <c r="KK321" s="173"/>
      <c r="KL321" s="173"/>
      <c r="KM321" s="173"/>
      <c r="KN321" s="173"/>
      <c r="KO321" s="173"/>
      <c r="KP321" s="173"/>
      <c r="KQ321" s="173"/>
      <c r="KR321" s="173"/>
      <c r="KS321" s="173"/>
      <c r="KT321" s="173"/>
      <c r="KU321" s="173"/>
      <c r="KV321" s="173"/>
      <c r="KW321" s="173"/>
      <c r="KX321" s="173"/>
      <c r="KY321" s="173"/>
      <c r="KZ321" s="173"/>
      <c r="LA321" s="173"/>
      <c r="LB321" s="173"/>
      <c r="LC321" s="173"/>
      <c r="LD321" s="173"/>
      <c r="LE321" s="173"/>
      <c r="LF321" s="173"/>
      <c r="LG321" s="173"/>
      <c r="LH321" s="173"/>
      <c r="LI321" s="173"/>
      <c r="LJ321" s="173"/>
      <c r="LK321" s="173"/>
      <c r="LL321" s="173"/>
      <c r="LM321" s="173"/>
      <c r="LN321" s="173"/>
      <c r="LO321" s="173"/>
      <c r="LP321" s="173"/>
      <c r="LQ321" s="173"/>
      <c r="LR321" s="173"/>
      <c r="LS321" s="173"/>
      <c r="LT321" s="173"/>
      <c r="LU321" s="173"/>
      <c r="LV321" s="173"/>
      <c r="LW321" s="173"/>
      <c r="LX321" s="173"/>
      <c r="LY321" s="173"/>
      <c r="LZ321" s="173"/>
      <c r="MA321" s="173"/>
      <c r="MB321" s="173"/>
      <c r="MC321" s="173"/>
      <c r="MD321" s="173"/>
      <c r="ME321" s="173"/>
      <c r="MF321" s="173"/>
      <c r="MG321" s="173"/>
      <c r="MH321" s="173"/>
      <c r="MI321" s="173"/>
      <c r="MJ321" s="173"/>
      <c r="MK321" s="173"/>
      <c r="ML321" s="173"/>
      <c r="MM321" s="173"/>
      <c r="MN321" s="173"/>
      <c r="MO321" s="173"/>
      <c r="MP321" s="173"/>
      <c r="MQ321" s="173"/>
      <c r="MR321" s="173"/>
      <c r="MS321" s="173"/>
      <c r="MT321" s="173"/>
      <c r="MU321" s="173"/>
      <c r="MV321" s="173"/>
      <c r="MW321" s="173"/>
      <c r="MX321" s="173"/>
      <c r="MY321" s="173"/>
      <c r="MZ321" s="173"/>
      <c r="NA321" s="173"/>
      <c r="NB321" s="173"/>
      <c r="NC321" s="173"/>
      <c r="ND321" s="173"/>
      <c r="NE321" s="173"/>
      <c r="NF321" s="173"/>
      <c r="NG321" s="173"/>
      <c r="NH321" s="173"/>
      <c r="NI321" s="173"/>
      <c r="NJ321" s="173"/>
      <c r="NK321" s="173"/>
      <c r="NL321" s="173"/>
      <c r="NM321" s="173"/>
      <c r="NN321" s="173"/>
      <c r="NO321" s="173"/>
      <c r="NP321" s="173"/>
      <c r="NQ321" s="173"/>
      <c r="NR321" s="173"/>
      <c r="NS321" s="173"/>
      <c r="NT321" s="173"/>
      <c r="NU321" s="173"/>
      <c r="NV321" s="173"/>
      <c r="NW321" s="173"/>
      <c r="NX321" s="173"/>
      <c r="NY321" s="173"/>
      <c r="NZ321" s="173"/>
      <c r="OA321" s="173"/>
      <c r="OB321" s="173"/>
      <c r="OC321" s="173"/>
      <c r="OD321" s="173"/>
      <c r="OE321" s="173"/>
      <c r="OF321" s="173"/>
      <c r="OG321" s="173"/>
      <c r="OH321" s="173"/>
      <c r="OI321" s="173"/>
      <c r="OJ321" s="173"/>
      <c r="OK321" s="173"/>
      <c r="OL321" s="173"/>
      <c r="OM321" s="173"/>
      <c r="ON321" s="173"/>
      <c r="OO321" s="173"/>
      <c r="OP321" s="173"/>
      <c r="OQ321" s="173"/>
      <c r="OR321" s="173"/>
      <c r="OS321" s="173"/>
      <c r="OT321" s="173"/>
      <c r="OU321" s="173"/>
      <c r="OV321" s="173"/>
      <c r="OW321" s="173"/>
      <c r="OX321" s="173"/>
      <c r="OY321" s="173"/>
      <c r="OZ321" s="173"/>
      <c r="PA321" s="173"/>
      <c r="PB321" s="173"/>
      <c r="PC321" s="173"/>
      <c r="PD321" s="173"/>
      <c r="PE321" s="173"/>
      <c r="PF321" s="173"/>
      <c r="PG321" s="173"/>
      <c r="PH321" s="173"/>
      <c r="PI321" s="173"/>
      <c r="PJ321" s="173"/>
      <c r="PK321" s="173"/>
      <c r="PL321" s="173"/>
      <c r="PM321" s="173"/>
      <c r="PN321" s="173"/>
      <c r="PO321" s="173"/>
      <c r="PP321" s="173"/>
      <c r="PQ321" s="173"/>
      <c r="PR321" s="173"/>
      <c r="PS321" s="173"/>
      <c r="PT321" s="173"/>
      <c r="PU321" s="173"/>
      <c r="PV321" s="173"/>
      <c r="PW321" s="173"/>
      <c r="PX321" s="173"/>
      <c r="PY321" s="173"/>
      <c r="PZ321" s="173"/>
      <c r="QA321" s="173"/>
      <c r="QB321" s="173"/>
      <c r="QC321" s="173"/>
      <c r="QD321" s="173"/>
      <c r="QE321" s="173"/>
      <c r="QF321" s="173"/>
      <c r="QG321" s="173"/>
      <c r="QH321" s="173"/>
      <c r="QI321" s="173"/>
      <c r="QJ321" s="173"/>
      <c r="QK321" s="173"/>
      <c r="QL321" s="173"/>
      <c r="QM321" s="173"/>
      <c r="QN321" s="173"/>
      <c r="QO321" s="173"/>
      <c r="QP321" s="173"/>
      <c r="QQ321" s="173"/>
      <c r="QR321" s="173"/>
      <c r="QS321" s="173"/>
      <c r="QT321" s="173"/>
      <c r="QU321" s="173"/>
      <c r="QV321" s="173"/>
      <c r="QW321" s="173"/>
      <c r="QX321" s="173"/>
      <c r="QY321" s="173"/>
      <c r="QZ321" s="173"/>
      <c r="RA321" s="173"/>
      <c r="RB321" s="173"/>
      <c r="RC321" s="173"/>
      <c r="RD321" s="173"/>
      <c r="RE321" s="173"/>
      <c r="RF321" s="173"/>
      <c r="RG321" s="173"/>
      <c r="RH321" s="173"/>
      <c r="RI321" s="173"/>
      <c r="RJ321" s="173"/>
      <c r="RK321" s="173"/>
      <c r="RL321" s="173"/>
      <c r="RM321" s="173"/>
      <c r="RN321" s="173"/>
      <c r="RO321" s="173"/>
      <c r="RP321" s="173"/>
      <c r="RQ321" s="173"/>
      <c r="RR321" s="173"/>
      <c r="RS321" s="173"/>
      <c r="RT321" s="173"/>
      <c r="RU321" s="173"/>
      <c r="RV321" s="173"/>
      <c r="RW321" s="173"/>
      <c r="RX321" s="173"/>
      <c r="RY321" s="173"/>
      <c r="RZ321" s="173"/>
      <c r="SA321" s="173"/>
      <c r="SB321" s="173"/>
      <c r="SC321" s="173"/>
      <c r="SD321" s="173"/>
      <c r="SE321" s="173"/>
      <c r="SF321" s="173"/>
      <c r="SG321" s="173"/>
      <c r="SH321" s="173"/>
      <c r="SI321" s="173"/>
      <c r="SJ321" s="173"/>
      <c r="SK321" s="173"/>
      <c r="SL321" s="173"/>
      <c r="SM321" s="173"/>
      <c r="SN321" s="173"/>
      <c r="SO321" s="173"/>
      <c r="SP321" s="173"/>
      <c r="SQ321" s="173"/>
      <c r="SR321" s="173"/>
      <c r="SS321" s="173"/>
      <c r="ST321" s="173"/>
      <c r="SU321" s="173"/>
      <c r="SV321" s="173"/>
      <c r="SW321" s="173"/>
      <c r="SX321" s="173"/>
      <c r="SY321" s="173"/>
      <c r="SZ321" s="173"/>
      <c r="TA321" s="173"/>
      <c r="TB321" s="173"/>
      <c r="TC321" s="173"/>
      <c r="TD321" s="173"/>
      <c r="TE321" s="173"/>
      <c r="TF321" s="173"/>
      <c r="TG321" s="173"/>
      <c r="TH321" s="173"/>
      <c r="TI321" s="173"/>
      <c r="TJ321" s="173"/>
      <c r="TK321" s="173"/>
      <c r="TL321" s="173"/>
      <c r="TM321" s="173"/>
      <c r="TN321" s="173"/>
      <c r="TO321" s="173"/>
      <c r="TP321" s="173"/>
      <c r="TQ321" s="173"/>
      <c r="TR321" s="173"/>
      <c r="TS321" s="173"/>
      <c r="TT321" s="173"/>
      <c r="TU321" s="173"/>
      <c r="TV321" s="173"/>
      <c r="TW321" s="173"/>
      <c r="TX321" s="173"/>
      <c r="TY321" s="173"/>
      <c r="TZ321" s="173"/>
      <c r="UA321" s="173"/>
      <c r="UB321" s="173"/>
      <c r="UC321" s="173"/>
      <c r="UD321" s="173"/>
      <c r="UE321" s="173"/>
      <c r="UF321" s="173"/>
      <c r="UG321" s="173"/>
      <c r="UH321" s="173"/>
      <c r="UI321" s="173"/>
      <c r="UJ321" s="173"/>
      <c r="UK321" s="173"/>
      <c r="UL321" s="173"/>
      <c r="UM321" s="173"/>
      <c r="UN321" s="173"/>
      <c r="UO321" s="173"/>
      <c r="UP321" s="173"/>
      <c r="UQ321" s="173"/>
      <c r="UR321" s="173"/>
      <c r="US321" s="173"/>
      <c r="UT321" s="173"/>
      <c r="UU321" s="173"/>
      <c r="UV321" s="173"/>
      <c r="UW321" s="173"/>
      <c r="UX321" s="173"/>
      <c r="UY321" s="173"/>
      <c r="UZ321" s="173"/>
      <c r="VA321" s="173"/>
      <c r="VB321" s="173"/>
      <c r="VC321" s="173"/>
      <c r="VD321" s="173"/>
      <c r="VE321" s="173"/>
      <c r="VF321" s="173"/>
      <c r="VG321" s="173"/>
      <c r="VH321" s="173"/>
      <c r="VI321" s="173"/>
      <c r="VJ321" s="173"/>
      <c r="VK321" s="173"/>
      <c r="VL321" s="173"/>
      <c r="VM321" s="173"/>
      <c r="VN321" s="173"/>
      <c r="VO321" s="173"/>
      <c r="VP321" s="173"/>
      <c r="VQ321" s="173"/>
      <c r="VR321" s="173"/>
      <c r="VS321" s="173"/>
      <c r="VT321" s="173"/>
      <c r="VU321" s="173"/>
      <c r="VV321" s="173"/>
      <c r="VW321" s="173"/>
      <c r="VX321" s="173"/>
      <c r="VY321" s="173"/>
      <c r="VZ321" s="173"/>
      <c r="WA321" s="173"/>
      <c r="WB321" s="173"/>
      <c r="WC321" s="173"/>
      <c r="WD321" s="173"/>
      <c r="WE321" s="173"/>
      <c r="WF321" s="173"/>
      <c r="WG321" s="173"/>
      <c r="WH321" s="173"/>
      <c r="WI321" s="173"/>
      <c r="WJ321" s="173"/>
      <c r="WK321" s="173"/>
      <c r="WL321" s="173"/>
      <c r="WM321" s="173"/>
      <c r="WN321" s="173"/>
      <c r="WO321" s="173"/>
      <c r="WP321" s="173"/>
    </row>
    <row r="322" spans="1:614">
      <c r="A322" s="173"/>
      <c r="B322" s="173"/>
      <c r="C322" s="173"/>
      <c r="D322" s="173"/>
      <c r="E322" s="173"/>
      <c r="G322" s="173"/>
      <c r="H322" s="173"/>
      <c r="I322" s="173"/>
      <c r="J322" s="173"/>
      <c r="K322" s="173"/>
      <c r="L322" s="173"/>
      <c r="M322" s="173"/>
      <c r="N322" s="173"/>
      <c r="O322" s="173"/>
      <c r="P322" s="173"/>
      <c r="Q322" s="173"/>
      <c r="R322" s="173"/>
      <c r="S322" s="173"/>
      <c r="T322" s="173"/>
      <c r="U322" s="173"/>
      <c r="V322" s="173"/>
      <c r="W322" s="173"/>
      <c r="X322" s="173"/>
      <c r="Y322" s="173"/>
      <c r="Z322" s="173"/>
      <c r="AA322" s="173"/>
      <c r="AB322" s="173"/>
      <c r="AC322" s="173"/>
      <c r="AD322" s="173"/>
      <c r="AE322" s="173"/>
      <c r="AF322" s="173"/>
      <c r="AG322" s="173"/>
      <c r="AH322" s="173"/>
      <c r="AI322" s="173"/>
      <c r="AJ322" s="173"/>
      <c r="AK322" s="173"/>
      <c r="AL322" s="173"/>
      <c r="AM322" s="173"/>
      <c r="AN322" s="173"/>
      <c r="AO322" s="173"/>
      <c r="AP322" s="173"/>
      <c r="AQ322" s="173"/>
      <c r="AR322" s="173"/>
      <c r="AS322" s="173"/>
      <c r="AT322" s="173"/>
      <c r="AU322" s="173"/>
      <c r="AV322" s="173"/>
      <c r="AW322" s="173"/>
      <c r="AX322" s="173"/>
      <c r="AY322" s="173"/>
      <c r="AZ322" s="173"/>
      <c r="BA322" s="173"/>
      <c r="BB322" s="173"/>
      <c r="BC322" s="173"/>
      <c r="BD322" s="173"/>
      <c r="BE322" s="173"/>
      <c r="BF322" s="173"/>
      <c r="BG322" s="173"/>
      <c r="BH322" s="173"/>
      <c r="BI322" s="173"/>
      <c r="BJ322" s="173"/>
      <c r="BK322" s="173"/>
      <c r="BL322" s="173"/>
      <c r="BM322" s="173"/>
      <c r="BN322" s="173"/>
      <c r="BO322" s="173"/>
      <c r="BP322" s="173"/>
      <c r="BQ322" s="173"/>
      <c r="BR322" s="173"/>
      <c r="BS322" s="173"/>
      <c r="BT322" s="173"/>
      <c r="BU322" s="173"/>
      <c r="BV322" s="173"/>
      <c r="BW322" s="173"/>
      <c r="BX322" s="173"/>
      <c r="BY322" s="173"/>
      <c r="BZ322" s="173"/>
      <c r="CA322" s="173"/>
      <c r="CB322" s="173"/>
      <c r="CC322" s="173"/>
      <c r="CD322" s="173"/>
      <c r="CE322" s="173"/>
      <c r="CF322" s="173"/>
      <c r="CG322" s="173"/>
      <c r="CH322" s="173"/>
      <c r="CI322" s="173"/>
      <c r="CJ322" s="173"/>
      <c r="CK322" s="173"/>
      <c r="CL322" s="173"/>
      <c r="CM322" s="173"/>
      <c r="CN322" s="173"/>
      <c r="CO322" s="173"/>
      <c r="CP322" s="173"/>
      <c r="CQ322" s="173"/>
      <c r="CR322" s="173"/>
      <c r="CS322" s="173"/>
      <c r="CT322" s="173"/>
      <c r="CU322" s="173"/>
      <c r="CV322" s="173"/>
      <c r="CW322" s="173"/>
      <c r="CX322" s="173"/>
      <c r="CY322" s="173"/>
      <c r="CZ322" s="173"/>
      <c r="DA322" s="173"/>
      <c r="DB322" s="173"/>
      <c r="DC322" s="173"/>
      <c r="DD322" s="173"/>
      <c r="DE322" s="173"/>
      <c r="DF322" s="173"/>
      <c r="DG322" s="173"/>
      <c r="DH322" s="173"/>
      <c r="DI322" s="173"/>
      <c r="DJ322" s="173"/>
      <c r="DK322" s="173"/>
      <c r="DL322" s="173"/>
      <c r="DM322" s="173"/>
      <c r="DN322" s="173"/>
      <c r="DO322" s="173"/>
      <c r="DP322" s="173"/>
      <c r="DQ322" s="173"/>
      <c r="DR322" s="173"/>
      <c r="DS322" s="173"/>
      <c r="DT322" s="173"/>
      <c r="DU322" s="173"/>
      <c r="DV322" s="173"/>
      <c r="DW322" s="173"/>
      <c r="DX322" s="173"/>
      <c r="DY322" s="173"/>
      <c r="DZ322" s="173"/>
      <c r="EA322" s="173"/>
      <c r="EB322" s="173"/>
      <c r="EC322" s="173"/>
      <c r="ED322" s="173"/>
      <c r="EE322" s="173"/>
      <c r="EF322" s="173"/>
      <c r="EG322" s="173"/>
      <c r="EH322" s="173"/>
      <c r="EI322" s="173"/>
      <c r="EJ322" s="173"/>
      <c r="EK322" s="173"/>
      <c r="EL322" s="173"/>
      <c r="EM322" s="173"/>
      <c r="EN322" s="173"/>
      <c r="EO322" s="173"/>
      <c r="EP322" s="173"/>
      <c r="EQ322" s="173"/>
      <c r="ER322" s="173"/>
      <c r="ES322" s="173"/>
      <c r="ET322" s="173"/>
      <c r="EU322" s="173"/>
      <c r="EV322" s="173"/>
      <c r="EW322" s="173"/>
      <c r="EX322" s="173"/>
      <c r="EY322" s="173"/>
      <c r="EZ322" s="173"/>
      <c r="FA322" s="173"/>
      <c r="FB322" s="173"/>
      <c r="FC322" s="173"/>
      <c r="FD322" s="173"/>
      <c r="FE322" s="173"/>
      <c r="FF322" s="173"/>
      <c r="FG322" s="173"/>
      <c r="FH322" s="173"/>
      <c r="FI322" s="173"/>
      <c r="FJ322" s="173"/>
      <c r="FK322" s="173"/>
      <c r="FL322" s="173"/>
      <c r="FM322" s="173"/>
      <c r="FN322" s="173"/>
      <c r="FO322" s="173"/>
      <c r="FP322" s="173"/>
      <c r="FQ322" s="173"/>
      <c r="FR322" s="173"/>
      <c r="FS322" s="173"/>
      <c r="FT322" s="173"/>
      <c r="FU322" s="173"/>
      <c r="FV322" s="173"/>
      <c r="FW322" s="173"/>
      <c r="FX322" s="173"/>
      <c r="FY322" s="173"/>
      <c r="FZ322" s="173"/>
      <c r="GA322" s="173"/>
      <c r="GB322" s="173"/>
      <c r="GC322" s="173"/>
      <c r="GD322" s="173"/>
      <c r="GE322" s="173"/>
      <c r="GF322" s="173"/>
      <c r="GG322" s="173"/>
      <c r="GH322" s="173"/>
      <c r="GI322" s="173"/>
      <c r="GJ322" s="173"/>
      <c r="GK322" s="173"/>
      <c r="GL322" s="173"/>
      <c r="GM322" s="173"/>
      <c r="GN322" s="173"/>
      <c r="GO322" s="173"/>
      <c r="GP322" s="173"/>
      <c r="GQ322" s="173"/>
      <c r="GR322" s="173"/>
      <c r="GS322" s="173"/>
      <c r="GT322" s="173"/>
      <c r="GU322" s="173"/>
      <c r="GV322" s="173"/>
      <c r="GW322" s="173"/>
      <c r="GX322" s="173"/>
      <c r="GY322" s="173"/>
      <c r="GZ322" s="173"/>
      <c r="HA322" s="173"/>
      <c r="HB322" s="173"/>
      <c r="HC322" s="173"/>
      <c r="HD322" s="173"/>
      <c r="HE322" s="173"/>
      <c r="HF322" s="173"/>
      <c r="HG322" s="173"/>
      <c r="HH322" s="173"/>
      <c r="HI322" s="173"/>
      <c r="HJ322" s="173"/>
      <c r="HK322" s="173"/>
      <c r="HL322" s="173"/>
      <c r="HM322" s="173"/>
      <c r="HN322" s="173"/>
      <c r="HO322" s="173"/>
      <c r="HP322" s="173"/>
      <c r="HQ322" s="173"/>
      <c r="HR322" s="173"/>
      <c r="HS322" s="173"/>
      <c r="HT322" s="173"/>
      <c r="HU322" s="173"/>
      <c r="HV322" s="173"/>
      <c r="HW322" s="173"/>
      <c r="HX322" s="173"/>
      <c r="HY322" s="173"/>
      <c r="HZ322" s="173"/>
      <c r="IA322" s="173"/>
      <c r="IB322" s="173"/>
      <c r="IC322" s="173"/>
      <c r="ID322" s="173"/>
      <c r="IE322" s="173"/>
      <c r="IF322" s="173"/>
      <c r="IG322" s="173"/>
      <c r="IH322" s="173"/>
      <c r="II322" s="173"/>
      <c r="IJ322" s="173"/>
      <c r="IK322" s="173"/>
      <c r="IL322" s="173"/>
      <c r="IM322" s="173"/>
      <c r="IN322" s="173"/>
      <c r="IO322" s="173"/>
      <c r="IP322" s="173"/>
      <c r="IQ322" s="173"/>
      <c r="IR322" s="173"/>
      <c r="IS322" s="173"/>
      <c r="IT322" s="173"/>
      <c r="IU322" s="173"/>
      <c r="IV322" s="173"/>
      <c r="IW322" s="173"/>
      <c r="IX322" s="173"/>
      <c r="IY322" s="173"/>
      <c r="IZ322" s="173"/>
      <c r="JA322" s="173"/>
      <c r="JB322" s="173"/>
      <c r="JC322" s="173"/>
      <c r="JD322" s="173"/>
      <c r="JE322" s="173"/>
      <c r="JF322" s="173"/>
      <c r="JG322" s="173"/>
      <c r="JH322" s="173"/>
      <c r="JI322" s="173"/>
      <c r="JJ322" s="173"/>
      <c r="JK322" s="173"/>
      <c r="JL322" s="173"/>
      <c r="JM322" s="173"/>
      <c r="JN322" s="173"/>
      <c r="JO322" s="173"/>
      <c r="JP322" s="173"/>
      <c r="JQ322" s="173"/>
      <c r="JR322" s="173"/>
      <c r="JS322" s="173"/>
      <c r="JT322" s="173"/>
      <c r="JU322" s="173"/>
      <c r="JV322" s="173"/>
      <c r="JW322" s="173"/>
      <c r="JX322" s="173"/>
      <c r="JY322" s="173"/>
      <c r="JZ322" s="173"/>
      <c r="KA322" s="173"/>
      <c r="KB322" s="173"/>
      <c r="KC322" s="173"/>
      <c r="KD322" s="173"/>
      <c r="KE322" s="173"/>
      <c r="KF322" s="173"/>
      <c r="KG322" s="173"/>
      <c r="KH322" s="173"/>
      <c r="KI322" s="173"/>
      <c r="KJ322" s="173"/>
      <c r="KK322" s="173"/>
      <c r="KL322" s="173"/>
      <c r="KM322" s="173"/>
      <c r="KN322" s="173"/>
      <c r="KO322" s="173"/>
      <c r="KP322" s="173"/>
      <c r="KQ322" s="173"/>
      <c r="KR322" s="173"/>
      <c r="KS322" s="173"/>
      <c r="KT322" s="173"/>
      <c r="KU322" s="173"/>
      <c r="KV322" s="173"/>
      <c r="KW322" s="173"/>
      <c r="KX322" s="173"/>
      <c r="KY322" s="173"/>
      <c r="KZ322" s="173"/>
      <c r="LA322" s="173"/>
      <c r="LB322" s="173"/>
      <c r="LC322" s="173"/>
      <c r="LD322" s="173"/>
      <c r="LE322" s="173"/>
      <c r="LF322" s="173"/>
      <c r="LG322" s="173"/>
      <c r="LH322" s="173"/>
      <c r="LI322" s="173"/>
      <c r="LJ322" s="173"/>
      <c r="LK322" s="173"/>
      <c r="LL322" s="173"/>
      <c r="LM322" s="173"/>
      <c r="LN322" s="173"/>
      <c r="LO322" s="173"/>
      <c r="LP322" s="173"/>
      <c r="LQ322" s="173"/>
      <c r="LR322" s="173"/>
      <c r="LS322" s="173"/>
      <c r="LT322" s="173"/>
      <c r="LU322" s="173"/>
      <c r="LV322" s="173"/>
      <c r="LW322" s="173"/>
      <c r="LX322" s="173"/>
      <c r="LY322" s="173"/>
      <c r="LZ322" s="173"/>
      <c r="MA322" s="173"/>
      <c r="MB322" s="173"/>
      <c r="MC322" s="173"/>
      <c r="MD322" s="173"/>
      <c r="ME322" s="173"/>
      <c r="MF322" s="173"/>
      <c r="MG322" s="173"/>
      <c r="MH322" s="173"/>
      <c r="MI322" s="173"/>
      <c r="MJ322" s="173"/>
      <c r="MK322" s="173"/>
      <c r="ML322" s="173"/>
      <c r="MM322" s="173"/>
      <c r="MN322" s="173"/>
      <c r="MO322" s="173"/>
      <c r="MP322" s="173"/>
      <c r="MQ322" s="173"/>
      <c r="MR322" s="173"/>
      <c r="MS322" s="173"/>
      <c r="MT322" s="173"/>
      <c r="MU322" s="173"/>
      <c r="MV322" s="173"/>
      <c r="MW322" s="173"/>
      <c r="MX322" s="173"/>
      <c r="MY322" s="173"/>
      <c r="MZ322" s="173"/>
      <c r="NA322" s="173"/>
      <c r="NB322" s="173"/>
      <c r="NC322" s="173"/>
      <c r="ND322" s="173"/>
      <c r="NE322" s="173"/>
      <c r="NF322" s="173"/>
      <c r="NG322" s="173"/>
      <c r="NH322" s="173"/>
      <c r="NI322" s="173"/>
      <c r="NJ322" s="173"/>
      <c r="NK322" s="173"/>
      <c r="NL322" s="173"/>
      <c r="NM322" s="173"/>
      <c r="NN322" s="173"/>
      <c r="NO322" s="173"/>
      <c r="NP322" s="173"/>
      <c r="NQ322" s="173"/>
      <c r="NR322" s="173"/>
      <c r="NS322" s="173"/>
      <c r="NT322" s="173"/>
      <c r="NU322" s="173"/>
      <c r="NV322" s="173"/>
      <c r="NW322" s="173"/>
      <c r="NX322" s="173"/>
      <c r="NY322" s="173"/>
      <c r="NZ322" s="173"/>
      <c r="OA322" s="173"/>
      <c r="OB322" s="173"/>
      <c r="OC322" s="173"/>
      <c r="OD322" s="173"/>
      <c r="OE322" s="173"/>
      <c r="OF322" s="173"/>
      <c r="OG322" s="173"/>
      <c r="OH322" s="173"/>
      <c r="OI322" s="173"/>
      <c r="OJ322" s="173"/>
      <c r="OK322" s="173"/>
      <c r="OL322" s="173"/>
      <c r="OM322" s="173"/>
      <c r="ON322" s="173"/>
      <c r="OO322" s="173"/>
      <c r="OP322" s="173"/>
      <c r="OQ322" s="173"/>
      <c r="OR322" s="173"/>
      <c r="OS322" s="173"/>
      <c r="OT322" s="173"/>
      <c r="OU322" s="173"/>
      <c r="OV322" s="173"/>
      <c r="OW322" s="173"/>
      <c r="OX322" s="173"/>
      <c r="OY322" s="173"/>
      <c r="OZ322" s="173"/>
      <c r="PA322" s="173"/>
      <c r="PB322" s="173"/>
      <c r="PC322" s="173"/>
      <c r="PD322" s="173"/>
      <c r="PE322" s="173"/>
      <c r="PF322" s="173"/>
      <c r="PG322" s="173"/>
      <c r="PH322" s="173"/>
      <c r="PI322" s="173"/>
      <c r="PJ322" s="173"/>
      <c r="PK322" s="173"/>
      <c r="PL322" s="173"/>
      <c r="PM322" s="173"/>
      <c r="PN322" s="173"/>
      <c r="PO322" s="173"/>
      <c r="PP322" s="173"/>
      <c r="PQ322" s="173"/>
      <c r="PR322" s="173"/>
      <c r="PS322" s="173"/>
      <c r="PT322" s="173"/>
      <c r="PU322" s="173"/>
      <c r="PV322" s="173"/>
      <c r="PW322" s="173"/>
      <c r="PX322" s="173"/>
      <c r="PY322" s="173"/>
      <c r="PZ322" s="173"/>
      <c r="QA322" s="173"/>
      <c r="QB322" s="173"/>
      <c r="QC322" s="173"/>
      <c r="QD322" s="173"/>
      <c r="QE322" s="173"/>
      <c r="QF322" s="173"/>
      <c r="QG322" s="173"/>
      <c r="QH322" s="173"/>
      <c r="QI322" s="173"/>
      <c r="QJ322" s="173"/>
      <c r="QK322" s="173"/>
      <c r="QL322" s="173"/>
      <c r="QM322" s="173"/>
      <c r="QN322" s="173"/>
      <c r="QO322" s="173"/>
      <c r="QP322" s="173"/>
      <c r="QQ322" s="173"/>
      <c r="QR322" s="173"/>
      <c r="QS322" s="173"/>
      <c r="QT322" s="173"/>
      <c r="QU322" s="173"/>
      <c r="QV322" s="173"/>
      <c r="QW322" s="173"/>
      <c r="QX322" s="173"/>
      <c r="QY322" s="173"/>
      <c r="QZ322" s="173"/>
      <c r="RA322" s="173"/>
      <c r="RB322" s="173"/>
      <c r="RC322" s="173"/>
      <c r="RD322" s="173"/>
      <c r="RE322" s="173"/>
      <c r="RF322" s="173"/>
      <c r="RG322" s="173"/>
      <c r="RH322" s="173"/>
      <c r="RI322" s="173"/>
      <c r="RJ322" s="173"/>
      <c r="RK322" s="173"/>
      <c r="RL322" s="173"/>
      <c r="RM322" s="173"/>
      <c r="RN322" s="173"/>
      <c r="RO322" s="173"/>
      <c r="RP322" s="173"/>
      <c r="RQ322" s="173"/>
      <c r="RR322" s="173"/>
      <c r="RS322" s="173"/>
      <c r="RT322" s="173"/>
      <c r="RU322" s="173"/>
      <c r="RV322" s="173"/>
      <c r="RW322" s="173"/>
      <c r="RX322" s="173"/>
      <c r="RY322" s="173"/>
      <c r="RZ322" s="173"/>
      <c r="SA322" s="173"/>
      <c r="SB322" s="173"/>
      <c r="SC322" s="173"/>
      <c r="SD322" s="173"/>
      <c r="SE322" s="173"/>
      <c r="SF322" s="173"/>
      <c r="SG322" s="173"/>
      <c r="SH322" s="173"/>
      <c r="SI322" s="173"/>
      <c r="SJ322" s="173"/>
      <c r="SK322" s="173"/>
      <c r="SL322" s="173"/>
      <c r="SM322" s="173"/>
      <c r="SN322" s="173"/>
      <c r="SO322" s="173"/>
      <c r="SP322" s="173"/>
      <c r="SQ322" s="173"/>
      <c r="SR322" s="173"/>
      <c r="SS322" s="173"/>
      <c r="ST322" s="173"/>
      <c r="SU322" s="173"/>
      <c r="SV322" s="173"/>
      <c r="SW322" s="173"/>
      <c r="SX322" s="173"/>
      <c r="SY322" s="173"/>
      <c r="SZ322" s="173"/>
      <c r="TA322" s="173"/>
      <c r="TB322" s="173"/>
      <c r="TC322" s="173"/>
      <c r="TD322" s="173"/>
      <c r="TE322" s="173"/>
      <c r="TF322" s="173"/>
      <c r="TG322" s="173"/>
      <c r="TH322" s="173"/>
      <c r="TI322" s="173"/>
      <c r="TJ322" s="173"/>
      <c r="TK322" s="173"/>
      <c r="TL322" s="173"/>
      <c r="TM322" s="173"/>
      <c r="TN322" s="173"/>
      <c r="TO322" s="173"/>
      <c r="TP322" s="173"/>
      <c r="TQ322" s="173"/>
      <c r="TR322" s="173"/>
      <c r="TS322" s="173"/>
      <c r="TT322" s="173"/>
      <c r="TU322" s="173"/>
      <c r="TV322" s="173"/>
      <c r="TW322" s="173"/>
      <c r="TX322" s="173"/>
      <c r="TY322" s="173"/>
      <c r="TZ322" s="173"/>
      <c r="UA322" s="173"/>
      <c r="UB322" s="173"/>
      <c r="UC322" s="173"/>
      <c r="UD322" s="173"/>
      <c r="UE322" s="173"/>
      <c r="UF322" s="173"/>
      <c r="UG322" s="173"/>
      <c r="UH322" s="173"/>
      <c r="UI322" s="173"/>
      <c r="UJ322" s="173"/>
      <c r="UK322" s="173"/>
      <c r="UL322" s="173"/>
      <c r="UM322" s="173"/>
      <c r="UN322" s="173"/>
      <c r="UO322" s="173"/>
      <c r="UP322" s="173"/>
      <c r="UQ322" s="173"/>
      <c r="UR322" s="173"/>
      <c r="US322" s="173"/>
      <c r="UT322" s="173"/>
      <c r="UU322" s="173"/>
      <c r="UV322" s="173"/>
      <c r="UW322" s="173"/>
      <c r="UX322" s="173"/>
      <c r="UY322" s="173"/>
      <c r="UZ322" s="173"/>
      <c r="VA322" s="173"/>
      <c r="VB322" s="173"/>
      <c r="VC322" s="173"/>
      <c r="VD322" s="173"/>
      <c r="VE322" s="173"/>
      <c r="VF322" s="173"/>
      <c r="VG322" s="173"/>
      <c r="VH322" s="173"/>
      <c r="VI322" s="173"/>
      <c r="VJ322" s="173"/>
      <c r="VK322" s="173"/>
      <c r="VL322" s="173"/>
      <c r="VM322" s="173"/>
      <c r="VN322" s="173"/>
      <c r="VO322" s="173"/>
      <c r="VP322" s="173"/>
      <c r="VQ322" s="173"/>
      <c r="VR322" s="173"/>
      <c r="VS322" s="173"/>
      <c r="VT322" s="173"/>
      <c r="VU322" s="173"/>
      <c r="VV322" s="173"/>
      <c r="VW322" s="173"/>
      <c r="VX322" s="173"/>
      <c r="VY322" s="173"/>
      <c r="VZ322" s="173"/>
      <c r="WA322" s="173"/>
      <c r="WB322" s="173"/>
      <c r="WC322" s="173"/>
      <c r="WD322" s="173"/>
      <c r="WE322" s="173"/>
      <c r="WF322" s="173"/>
      <c r="WG322" s="173"/>
      <c r="WH322" s="173"/>
      <c r="WI322" s="173"/>
      <c r="WJ322" s="173"/>
      <c r="WK322" s="173"/>
      <c r="WL322" s="173"/>
      <c r="WM322" s="173"/>
      <c r="WN322" s="173"/>
      <c r="WO322" s="173"/>
      <c r="WP322" s="173"/>
    </row>
    <row r="323" spans="1:614">
      <c r="A323" s="173"/>
      <c r="B323" s="173"/>
      <c r="C323" s="173"/>
      <c r="D323" s="173"/>
      <c r="E323" s="173"/>
      <c r="F323" s="173"/>
      <c r="G323" s="173"/>
      <c r="H323" s="173"/>
      <c r="I323" s="173"/>
      <c r="J323" s="173"/>
      <c r="K323" s="173"/>
      <c r="L323" s="173"/>
      <c r="M323" s="173"/>
      <c r="N323" s="173"/>
      <c r="O323" s="173"/>
      <c r="P323" s="173"/>
      <c r="Q323" s="173"/>
      <c r="R323" s="173"/>
      <c r="S323" s="173"/>
      <c r="T323" s="173"/>
      <c r="U323" s="173"/>
      <c r="V323" s="173"/>
      <c r="W323" s="173"/>
      <c r="X323" s="173"/>
      <c r="Y323" s="173"/>
      <c r="Z323" s="173"/>
      <c r="AA323" s="173"/>
      <c r="AB323" s="173"/>
      <c r="AC323" s="173"/>
      <c r="AD323" s="173"/>
      <c r="AE323" s="173"/>
      <c r="AF323" s="173"/>
      <c r="AG323" s="173"/>
      <c r="AH323" s="173"/>
      <c r="AI323" s="173"/>
      <c r="AJ323" s="173"/>
      <c r="AK323" s="173"/>
      <c r="AL323" s="173"/>
      <c r="AM323" s="173"/>
      <c r="AN323" s="173"/>
      <c r="AO323" s="173"/>
      <c r="AP323" s="173"/>
      <c r="AQ323" s="173"/>
      <c r="AR323" s="173"/>
      <c r="AS323" s="173"/>
      <c r="AT323" s="173"/>
      <c r="AU323" s="173"/>
      <c r="AV323" s="173"/>
      <c r="AW323" s="173"/>
      <c r="AX323" s="173"/>
      <c r="AY323" s="173"/>
      <c r="AZ323" s="173"/>
      <c r="BA323" s="173"/>
      <c r="BB323" s="173"/>
      <c r="BC323" s="173"/>
      <c r="BD323" s="173"/>
      <c r="BE323" s="173"/>
      <c r="BF323" s="173"/>
      <c r="BG323" s="173"/>
      <c r="BH323" s="173"/>
      <c r="BI323" s="173"/>
      <c r="BJ323" s="173"/>
      <c r="BK323" s="173"/>
      <c r="BL323" s="173"/>
      <c r="BM323" s="173"/>
      <c r="BN323" s="173"/>
      <c r="BO323" s="173"/>
      <c r="BP323" s="173"/>
      <c r="BQ323" s="173"/>
      <c r="BR323" s="173"/>
      <c r="BS323" s="173"/>
      <c r="BT323" s="173"/>
      <c r="BU323" s="173"/>
      <c r="BV323" s="173"/>
      <c r="BW323" s="173"/>
      <c r="BX323" s="173"/>
      <c r="BY323" s="173"/>
      <c r="BZ323" s="173"/>
      <c r="CA323" s="173"/>
      <c r="CB323" s="173"/>
      <c r="CC323" s="173"/>
      <c r="CD323" s="173"/>
      <c r="CE323" s="173"/>
      <c r="CF323" s="173"/>
      <c r="CG323" s="173"/>
      <c r="CH323" s="173"/>
      <c r="CI323" s="173"/>
      <c r="CJ323" s="173"/>
      <c r="CK323" s="173"/>
      <c r="CL323" s="173"/>
      <c r="CM323" s="173"/>
      <c r="CN323" s="173"/>
      <c r="CO323" s="173"/>
      <c r="CP323" s="173"/>
      <c r="CQ323" s="173"/>
      <c r="CR323" s="173"/>
      <c r="CS323" s="173"/>
      <c r="CT323" s="173"/>
      <c r="CU323" s="173"/>
      <c r="CV323" s="173"/>
      <c r="CW323" s="173"/>
      <c r="CX323" s="173"/>
      <c r="CY323" s="173"/>
      <c r="CZ323" s="173"/>
      <c r="DA323" s="173"/>
      <c r="DB323" s="173"/>
      <c r="DC323" s="173"/>
      <c r="DD323" s="173"/>
      <c r="DE323" s="173"/>
      <c r="DF323" s="173"/>
      <c r="DG323" s="173"/>
      <c r="DH323" s="173"/>
      <c r="DI323" s="173"/>
      <c r="DJ323" s="173"/>
      <c r="DK323" s="173"/>
      <c r="DL323" s="173"/>
      <c r="DM323" s="173"/>
      <c r="DN323" s="173"/>
      <c r="DO323" s="173"/>
      <c r="DP323" s="173"/>
      <c r="DQ323" s="173"/>
      <c r="DR323" s="173"/>
      <c r="DS323" s="173"/>
      <c r="DT323" s="173"/>
      <c r="DU323" s="173"/>
      <c r="DV323" s="173"/>
      <c r="DW323" s="173"/>
      <c r="DX323" s="173"/>
      <c r="DY323" s="173"/>
      <c r="DZ323" s="173"/>
      <c r="EA323" s="173"/>
      <c r="EB323" s="173"/>
      <c r="EC323" s="173"/>
      <c r="ED323" s="173"/>
      <c r="EE323" s="173"/>
      <c r="EF323" s="173"/>
      <c r="EG323" s="173"/>
      <c r="EH323" s="173"/>
      <c r="EI323" s="173"/>
      <c r="EJ323" s="173"/>
      <c r="EK323" s="173"/>
      <c r="EL323" s="173"/>
      <c r="EM323" s="173"/>
      <c r="EN323" s="173"/>
      <c r="EO323" s="173"/>
      <c r="EP323" s="173"/>
      <c r="EQ323" s="173"/>
      <c r="ER323" s="173"/>
      <c r="ES323" s="173"/>
      <c r="ET323" s="173"/>
      <c r="EU323" s="173"/>
      <c r="EV323" s="173"/>
      <c r="EW323" s="173"/>
      <c r="EX323" s="173"/>
      <c r="EY323" s="173"/>
      <c r="EZ323" s="173"/>
      <c r="FA323" s="173"/>
      <c r="FB323" s="173"/>
      <c r="FC323" s="173"/>
      <c r="FD323" s="173"/>
      <c r="FE323" s="173"/>
      <c r="FF323" s="173"/>
      <c r="FG323" s="173"/>
      <c r="FH323" s="173"/>
      <c r="FI323" s="173"/>
      <c r="FJ323" s="173"/>
      <c r="FK323" s="173"/>
      <c r="FL323" s="173"/>
      <c r="FM323" s="173"/>
      <c r="FN323" s="173"/>
      <c r="FO323" s="173"/>
      <c r="FP323" s="173"/>
      <c r="FQ323" s="173"/>
      <c r="FR323" s="173"/>
      <c r="FS323" s="173"/>
      <c r="FT323" s="173"/>
      <c r="FU323" s="173"/>
      <c r="FV323" s="173"/>
      <c r="FW323" s="173"/>
      <c r="FX323" s="173"/>
      <c r="FY323" s="173"/>
      <c r="FZ323" s="173"/>
      <c r="GA323" s="173"/>
      <c r="GB323" s="173"/>
      <c r="GC323" s="173"/>
      <c r="GD323" s="173"/>
      <c r="GE323" s="173"/>
      <c r="GF323" s="173"/>
      <c r="GG323" s="173"/>
      <c r="GH323" s="173"/>
      <c r="GI323" s="173"/>
      <c r="GJ323" s="173"/>
      <c r="GK323" s="173"/>
      <c r="GL323" s="173"/>
      <c r="GM323" s="173"/>
      <c r="GN323" s="173"/>
      <c r="GO323" s="173"/>
      <c r="GP323" s="173"/>
      <c r="GQ323" s="173"/>
      <c r="GR323" s="173"/>
      <c r="GS323" s="173"/>
      <c r="GT323" s="173"/>
      <c r="GU323" s="173"/>
      <c r="GV323" s="173"/>
      <c r="GW323" s="173"/>
      <c r="GX323" s="173"/>
      <c r="GY323" s="173"/>
      <c r="GZ323" s="173"/>
      <c r="HA323" s="173"/>
      <c r="HB323" s="173"/>
      <c r="HC323" s="173"/>
      <c r="HD323" s="173"/>
      <c r="HE323" s="173"/>
      <c r="HF323" s="173"/>
      <c r="HG323" s="173"/>
      <c r="HH323" s="173"/>
      <c r="HI323" s="173"/>
      <c r="HJ323" s="173"/>
      <c r="HK323" s="173"/>
      <c r="HL323" s="173"/>
      <c r="HM323" s="173"/>
      <c r="HN323" s="173"/>
      <c r="HO323" s="173"/>
      <c r="HP323" s="173"/>
      <c r="HQ323" s="173"/>
      <c r="HR323" s="173"/>
      <c r="HS323" s="173"/>
      <c r="HT323" s="173"/>
      <c r="HU323" s="173"/>
      <c r="HV323" s="173"/>
      <c r="HW323" s="173"/>
      <c r="HX323" s="173"/>
      <c r="HY323" s="173"/>
      <c r="HZ323" s="173"/>
      <c r="IA323" s="173"/>
      <c r="IB323" s="173"/>
      <c r="IC323" s="173"/>
      <c r="ID323" s="173"/>
      <c r="IE323" s="173"/>
      <c r="IF323" s="173"/>
      <c r="IG323" s="173"/>
      <c r="IH323" s="173"/>
      <c r="II323" s="173"/>
      <c r="IJ323" s="173"/>
      <c r="IK323" s="173"/>
      <c r="IL323" s="173"/>
      <c r="IM323" s="173"/>
      <c r="IN323" s="173"/>
      <c r="IO323" s="173"/>
      <c r="IP323" s="173"/>
      <c r="IQ323" s="173"/>
      <c r="IR323" s="173"/>
      <c r="IS323" s="173"/>
      <c r="IT323" s="173"/>
      <c r="IU323" s="173"/>
      <c r="IV323" s="173"/>
      <c r="IW323" s="173"/>
      <c r="IX323" s="173"/>
      <c r="IY323" s="173"/>
      <c r="IZ323" s="173"/>
      <c r="JA323" s="173"/>
      <c r="JB323" s="173"/>
      <c r="JC323" s="173"/>
      <c r="JD323" s="173"/>
      <c r="JE323" s="173"/>
      <c r="JF323" s="173"/>
      <c r="JG323" s="173"/>
      <c r="JH323" s="173"/>
      <c r="JI323" s="173"/>
      <c r="JJ323" s="173"/>
      <c r="JK323" s="173"/>
      <c r="JL323" s="173"/>
      <c r="JM323" s="173"/>
      <c r="JN323" s="173"/>
      <c r="JO323" s="173"/>
      <c r="JP323" s="173"/>
      <c r="JQ323" s="173"/>
      <c r="JR323" s="173"/>
      <c r="JS323" s="173"/>
      <c r="JT323" s="173"/>
      <c r="JU323" s="173"/>
      <c r="JV323" s="173"/>
      <c r="JW323" s="173"/>
      <c r="JX323" s="173"/>
      <c r="JY323" s="173"/>
      <c r="JZ323" s="173"/>
      <c r="KA323" s="173"/>
      <c r="KB323" s="173"/>
      <c r="KC323" s="173"/>
      <c r="KD323" s="173"/>
      <c r="KE323" s="173"/>
      <c r="KF323" s="173"/>
      <c r="KG323" s="173"/>
      <c r="KH323" s="173"/>
      <c r="KI323" s="173"/>
      <c r="KJ323" s="173"/>
      <c r="KK323" s="173"/>
      <c r="KL323" s="173"/>
      <c r="KM323" s="173"/>
      <c r="KN323" s="173"/>
      <c r="KO323" s="173"/>
      <c r="KP323" s="173"/>
      <c r="KQ323" s="173"/>
      <c r="KR323" s="173"/>
      <c r="KS323" s="173"/>
      <c r="KT323" s="173"/>
      <c r="KU323" s="173"/>
      <c r="KV323" s="173"/>
      <c r="KW323" s="173"/>
      <c r="KX323" s="173"/>
      <c r="KY323" s="173"/>
      <c r="KZ323" s="173"/>
      <c r="LA323" s="173"/>
      <c r="LB323" s="173"/>
      <c r="LC323" s="173"/>
      <c r="LD323" s="173"/>
      <c r="LE323" s="173"/>
      <c r="LF323" s="173"/>
      <c r="LG323" s="173"/>
      <c r="LH323" s="173"/>
      <c r="LI323" s="173"/>
      <c r="LJ323" s="173"/>
      <c r="LK323" s="173"/>
      <c r="LL323" s="173"/>
      <c r="LM323" s="173"/>
      <c r="LN323" s="173"/>
      <c r="LO323" s="173"/>
      <c r="LP323" s="173"/>
      <c r="LQ323" s="173"/>
      <c r="LR323" s="173"/>
      <c r="LS323" s="173"/>
      <c r="LT323" s="173"/>
      <c r="LU323" s="173"/>
      <c r="LV323" s="173"/>
      <c r="LW323" s="173"/>
      <c r="LX323" s="173"/>
      <c r="LY323" s="173"/>
      <c r="LZ323" s="173"/>
      <c r="MA323" s="173"/>
      <c r="MB323" s="173"/>
      <c r="MC323" s="173"/>
      <c r="MD323" s="173"/>
      <c r="ME323" s="173"/>
      <c r="MF323" s="173"/>
      <c r="MG323" s="173"/>
      <c r="MH323" s="173"/>
      <c r="MI323" s="173"/>
      <c r="MJ323" s="173"/>
      <c r="MK323" s="173"/>
      <c r="ML323" s="173"/>
      <c r="MM323" s="173"/>
      <c r="MN323" s="173"/>
      <c r="MO323" s="173"/>
      <c r="MP323" s="173"/>
      <c r="MQ323" s="173"/>
      <c r="MR323" s="173"/>
      <c r="MS323" s="173"/>
      <c r="MT323" s="173"/>
      <c r="MU323" s="173"/>
      <c r="MV323" s="173"/>
      <c r="MW323" s="173"/>
      <c r="MX323" s="173"/>
      <c r="MY323" s="173"/>
      <c r="MZ323" s="173"/>
      <c r="NA323" s="173"/>
      <c r="NB323" s="173"/>
      <c r="NC323" s="173"/>
      <c r="ND323" s="173"/>
      <c r="NE323" s="173"/>
      <c r="NF323" s="173"/>
      <c r="NG323" s="173"/>
      <c r="NH323" s="173"/>
      <c r="NI323" s="173"/>
      <c r="NJ323" s="173"/>
      <c r="NK323" s="173"/>
      <c r="NL323" s="173"/>
      <c r="NM323" s="173"/>
      <c r="NN323" s="173"/>
      <c r="NO323" s="173"/>
      <c r="NP323" s="173"/>
      <c r="NQ323" s="173"/>
      <c r="NR323" s="173"/>
      <c r="NS323" s="173"/>
      <c r="NT323" s="173"/>
      <c r="NU323" s="173"/>
      <c r="NV323" s="173"/>
      <c r="NW323" s="173"/>
      <c r="NX323" s="173"/>
      <c r="NY323" s="173"/>
      <c r="NZ323" s="173"/>
      <c r="OA323" s="173"/>
      <c r="OB323" s="173"/>
      <c r="OC323" s="173"/>
      <c r="OD323" s="173"/>
      <c r="OE323" s="173"/>
      <c r="OF323" s="173"/>
      <c r="OG323" s="173"/>
      <c r="OH323" s="173"/>
      <c r="OI323" s="173"/>
      <c r="OJ323" s="173"/>
      <c r="OK323" s="173"/>
      <c r="OL323" s="173"/>
      <c r="OM323" s="173"/>
      <c r="ON323" s="173"/>
      <c r="OO323" s="173"/>
      <c r="OP323" s="173"/>
      <c r="OQ323" s="173"/>
      <c r="OR323" s="173"/>
      <c r="OS323" s="173"/>
      <c r="OT323" s="173"/>
      <c r="OU323" s="173"/>
      <c r="OV323" s="173"/>
      <c r="OW323" s="173"/>
      <c r="OX323" s="173"/>
      <c r="OY323" s="173"/>
      <c r="OZ323" s="173"/>
      <c r="PA323" s="173"/>
      <c r="PB323" s="173"/>
      <c r="PC323" s="173"/>
      <c r="PD323" s="173"/>
      <c r="PE323" s="173"/>
      <c r="PF323" s="173"/>
      <c r="PG323" s="173"/>
      <c r="PH323" s="173"/>
      <c r="PI323" s="173"/>
      <c r="PJ323" s="173"/>
      <c r="PK323" s="173"/>
      <c r="PL323" s="173"/>
      <c r="PM323" s="173"/>
      <c r="PN323" s="173"/>
      <c r="PO323" s="173"/>
      <c r="PP323" s="173"/>
      <c r="PQ323" s="173"/>
      <c r="PR323" s="173"/>
      <c r="PS323" s="173"/>
      <c r="PT323" s="173"/>
      <c r="PU323" s="173"/>
      <c r="PV323" s="173"/>
      <c r="PW323" s="173"/>
      <c r="PX323" s="173"/>
      <c r="PY323" s="173"/>
      <c r="PZ323" s="173"/>
      <c r="QA323" s="173"/>
      <c r="QB323" s="173"/>
      <c r="QC323" s="173"/>
      <c r="QD323" s="173"/>
      <c r="QE323" s="173"/>
      <c r="QF323" s="173"/>
      <c r="QG323" s="173"/>
      <c r="QH323" s="173"/>
      <c r="QI323" s="173"/>
      <c r="QJ323" s="173"/>
      <c r="QK323" s="173"/>
      <c r="QL323" s="173"/>
      <c r="QM323" s="173"/>
      <c r="QN323" s="173"/>
      <c r="QO323" s="173"/>
      <c r="QP323" s="173"/>
      <c r="QQ323" s="173"/>
      <c r="QR323" s="173"/>
      <c r="QS323" s="173"/>
      <c r="QT323" s="173"/>
      <c r="QU323" s="173"/>
      <c r="QV323" s="173"/>
      <c r="QW323" s="173"/>
      <c r="QX323" s="173"/>
      <c r="QY323" s="173"/>
      <c r="QZ323" s="173"/>
      <c r="RA323" s="173"/>
      <c r="RB323" s="173"/>
      <c r="RC323" s="173"/>
      <c r="RD323" s="173"/>
      <c r="RE323" s="173"/>
      <c r="RF323" s="173"/>
      <c r="RG323" s="173"/>
      <c r="RH323" s="173"/>
      <c r="RI323" s="173"/>
      <c r="RJ323" s="173"/>
      <c r="RK323" s="173"/>
      <c r="RL323" s="173"/>
      <c r="RM323" s="173"/>
      <c r="RN323" s="173"/>
      <c r="RO323" s="173"/>
      <c r="RP323" s="173"/>
      <c r="RQ323" s="173"/>
      <c r="RR323" s="173"/>
      <c r="RS323" s="173"/>
      <c r="RT323" s="173"/>
      <c r="RU323" s="173"/>
      <c r="RV323" s="173"/>
      <c r="RW323" s="173"/>
      <c r="RX323" s="173"/>
      <c r="RY323" s="173"/>
      <c r="RZ323" s="173"/>
      <c r="SA323" s="173"/>
      <c r="SB323" s="173"/>
      <c r="SC323" s="173"/>
      <c r="SD323" s="173"/>
      <c r="SE323" s="173"/>
      <c r="SF323" s="173"/>
      <c r="SG323" s="173"/>
      <c r="SH323" s="173"/>
      <c r="SI323" s="173"/>
      <c r="SJ323" s="173"/>
      <c r="SK323" s="173"/>
      <c r="SL323" s="173"/>
      <c r="SM323" s="173"/>
      <c r="SN323" s="173"/>
      <c r="SO323" s="173"/>
      <c r="SP323" s="173"/>
      <c r="SQ323" s="173"/>
      <c r="SR323" s="173"/>
      <c r="SS323" s="173"/>
      <c r="ST323" s="173"/>
      <c r="SU323" s="173"/>
      <c r="SV323" s="173"/>
      <c r="SW323" s="173"/>
      <c r="SX323" s="173"/>
      <c r="SY323" s="173"/>
      <c r="SZ323" s="173"/>
      <c r="TA323" s="173"/>
      <c r="TB323" s="173"/>
      <c r="TC323" s="173"/>
      <c r="TD323" s="173"/>
      <c r="TE323" s="173"/>
      <c r="TF323" s="173"/>
      <c r="TG323" s="173"/>
      <c r="TH323" s="173"/>
      <c r="TI323" s="173"/>
      <c r="TJ323" s="173"/>
      <c r="TK323" s="173"/>
      <c r="TL323" s="173"/>
      <c r="TM323" s="173"/>
      <c r="TN323" s="173"/>
      <c r="TO323" s="173"/>
      <c r="TP323" s="173"/>
      <c r="TQ323" s="173"/>
      <c r="TR323" s="173"/>
      <c r="TS323" s="173"/>
      <c r="TT323" s="173"/>
      <c r="TU323" s="173"/>
      <c r="TV323" s="173"/>
      <c r="TW323" s="173"/>
      <c r="TX323" s="173"/>
      <c r="TY323" s="173"/>
      <c r="TZ323" s="173"/>
      <c r="UA323" s="173"/>
      <c r="UB323" s="173"/>
      <c r="UC323" s="173"/>
      <c r="UD323" s="173"/>
      <c r="UE323" s="173"/>
      <c r="UF323" s="173"/>
      <c r="UG323" s="173"/>
      <c r="UH323" s="173"/>
      <c r="UI323" s="173"/>
      <c r="UJ323" s="173"/>
      <c r="UK323" s="173"/>
      <c r="UL323" s="173"/>
      <c r="UM323" s="173"/>
      <c r="UN323" s="173"/>
      <c r="UO323" s="173"/>
      <c r="UP323" s="173"/>
      <c r="UQ323" s="173"/>
      <c r="UR323" s="173"/>
      <c r="US323" s="173"/>
      <c r="UT323" s="173"/>
      <c r="UU323" s="173"/>
      <c r="UV323" s="173"/>
      <c r="UW323" s="173"/>
      <c r="UX323" s="173"/>
      <c r="UY323" s="173"/>
      <c r="UZ323" s="173"/>
      <c r="VA323" s="173"/>
      <c r="VB323" s="173"/>
      <c r="VC323" s="173"/>
      <c r="VD323" s="173"/>
      <c r="VE323" s="173"/>
      <c r="VF323" s="173"/>
      <c r="VG323" s="173"/>
      <c r="VH323" s="173"/>
      <c r="VI323" s="173"/>
      <c r="VJ323" s="173"/>
      <c r="VK323" s="173"/>
      <c r="VL323" s="173"/>
      <c r="VM323" s="173"/>
      <c r="VN323" s="173"/>
      <c r="VO323" s="173"/>
      <c r="VP323" s="173"/>
      <c r="VQ323" s="173"/>
      <c r="VR323" s="173"/>
      <c r="VS323" s="173"/>
      <c r="VT323" s="173"/>
      <c r="VU323" s="173"/>
      <c r="VV323" s="173"/>
      <c r="VW323" s="173"/>
      <c r="VX323" s="173"/>
      <c r="VY323" s="173"/>
      <c r="VZ323" s="173"/>
      <c r="WA323" s="173"/>
      <c r="WB323" s="173"/>
      <c r="WC323" s="173"/>
      <c r="WD323" s="173"/>
      <c r="WE323" s="173"/>
      <c r="WF323" s="173"/>
      <c r="WG323" s="173"/>
      <c r="WH323" s="173"/>
      <c r="WI323" s="173"/>
      <c r="WJ323" s="173"/>
      <c r="WK323" s="173"/>
      <c r="WL323" s="173"/>
      <c r="WM323" s="173"/>
      <c r="WN323" s="173"/>
      <c r="WO323" s="173"/>
      <c r="WP323" s="173"/>
    </row>
    <row r="324" spans="1:614">
      <c r="A324" s="173"/>
      <c r="B324" s="173"/>
      <c r="C324" s="173"/>
      <c r="D324" s="173"/>
      <c r="E324" s="173"/>
      <c r="F324" s="173"/>
      <c r="G324" s="173"/>
      <c r="H324" s="173"/>
      <c r="I324" s="173"/>
      <c r="J324" s="173"/>
      <c r="K324" s="173"/>
      <c r="L324" s="173"/>
      <c r="M324" s="173"/>
      <c r="N324" s="173"/>
      <c r="O324" s="173"/>
      <c r="P324" s="173"/>
      <c r="Q324" s="173"/>
      <c r="R324" s="173"/>
      <c r="S324" s="173"/>
      <c r="T324" s="173"/>
      <c r="U324" s="173"/>
      <c r="V324" s="173"/>
      <c r="W324" s="173"/>
      <c r="X324" s="173"/>
      <c r="Y324" s="173"/>
      <c r="Z324" s="173"/>
      <c r="AA324" s="173"/>
      <c r="AB324" s="173"/>
      <c r="AC324" s="173"/>
      <c r="AD324" s="173"/>
      <c r="AE324" s="173"/>
      <c r="AF324" s="173"/>
      <c r="AG324" s="173"/>
      <c r="AH324" s="173"/>
      <c r="AI324" s="173"/>
      <c r="AJ324" s="173"/>
      <c r="AK324" s="173"/>
      <c r="AL324" s="173"/>
      <c r="AM324" s="173"/>
      <c r="AN324" s="173"/>
      <c r="AO324" s="173"/>
      <c r="AP324" s="173"/>
      <c r="AQ324" s="173"/>
      <c r="AR324" s="173"/>
      <c r="AS324" s="173"/>
      <c r="AT324" s="173"/>
      <c r="AU324" s="173"/>
      <c r="AV324" s="173"/>
      <c r="AW324" s="173"/>
      <c r="AX324" s="173"/>
      <c r="AY324" s="173"/>
      <c r="AZ324" s="173"/>
      <c r="BA324" s="173"/>
      <c r="BB324" s="173"/>
      <c r="BC324" s="173"/>
      <c r="BD324" s="173"/>
      <c r="BE324" s="173"/>
      <c r="BF324" s="173"/>
      <c r="BG324" s="173"/>
      <c r="BH324" s="173"/>
      <c r="BI324" s="173"/>
      <c r="BJ324" s="173"/>
      <c r="BK324" s="173"/>
      <c r="BL324" s="173"/>
      <c r="BM324" s="173"/>
      <c r="BN324" s="173"/>
      <c r="BO324" s="173"/>
      <c r="BP324" s="173"/>
      <c r="BQ324" s="173"/>
      <c r="BR324" s="173"/>
      <c r="BS324" s="173"/>
      <c r="BT324" s="173"/>
      <c r="BU324" s="173"/>
      <c r="BV324" s="173"/>
      <c r="BW324" s="173"/>
      <c r="BX324" s="173"/>
      <c r="BY324" s="173"/>
      <c r="BZ324" s="173"/>
      <c r="CA324" s="173"/>
      <c r="CB324" s="173"/>
      <c r="CC324" s="173"/>
      <c r="CD324" s="173"/>
      <c r="CE324" s="173"/>
      <c r="CF324" s="173"/>
      <c r="CG324" s="173"/>
      <c r="CH324" s="173"/>
      <c r="CI324" s="173"/>
      <c r="CJ324" s="173"/>
      <c r="CK324" s="173"/>
      <c r="CL324" s="173"/>
      <c r="CM324" s="173"/>
      <c r="CN324" s="173"/>
      <c r="CO324" s="173"/>
      <c r="CP324" s="173"/>
      <c r="CQ324" s="173"/>
      <c r="CR324" s="173"/>
      <c r="CS324" s="173"/>
      <c r="CT324" s="173"/>
      <c r="CU324" s="173"/>
      <c r="CV324" s="173"/>
      <c r="CW324" s="173"/>
      <c r="CX324" s="173"/>
      <c r="CY324" s="173"/>
      <c r="CZ324" s="173"/>
      <c r="DA324" s="173"/>
      <c r="DB324" s="173"/>
      <c r="DC324" s="173"/>
      <c r="DD324" s="173"/>
      <c r="DE324" s="173"/>
      <c r="DF324" s="173"/>
      <c r="DG324" s="173"/>
      <c r="DH324" s="173"/>
      <c r="DI324" s="173"/>
      <c r="DJ324" s="173"/>
      <c r="DK324" s="173"/>
      <c r="DL324" s="173"/>
      <c r="DM324" s="173"/>
      <c r="DN324" s="173"/>
      <c r="DO324" s="173"/>
      <c r="DP324" s="173"/>
      <c r="DQ324" s="173"/>
      <c r="DR324" s="173"/>
      <c r="DS324" s="173"/>
      <c r="DT324" s="173"/>
      <c r="DU324" s="173"/>
      <c r="DV324" s="173"/>
      <c r="DW324" s="173"/>
      <c r="DX324" s="173"/>
      <c r="DY324" s="173"/>
      <c r="DZ324" s="173"/>
      <c r="EA324" s="173"/>
      <c r="EB324" s="173"/>
      <c r="EC324" s="173"/>
      <c r="ED324" s="173"/>
      <c r="EE324" s="173"/>
      <c r="EF324" s="173"/>
      <c r="EG324" s="173"/>
      <c r="EH324" s="173"/>
      <c r="EI324" s="173"/>
      <c r="EJ324" s="173"/>
      <c r="EK324" s="173"/>
      <c r="EL324" s="173"/>
      <c r="EM324" s="173"/>
      <c r="EN324" s="173"/>
      <c r="EO324" s="173"/>
      <c r="EP324" s="173"/>
      <c r="EQ324" s="173"/>
      <c r="ER324" s="173"/>
      <c r="ES324" s="173"/>
      <c r="ET324" s="173"/>
      <c r="EU324" s="173"/>
      <c r="EV324" s="173"/>
      <c r="EW324" s="173"/>
      <c r="EX324" s="173"/>
      <c r="EY324" s="173"/>
      <c r="EZ324" s="173"/>
      <c r="FA324" s="173"/>
      <c r="FB324" s="173"/>
      <c r="FC324" s="173"/>
      <c r="FD324" s="173"/>
      <c r="FE324" s="173"/>
      <c r="FF324" s="173"/>
      <c r="FG324" s="173"/>
      <c r="FH324" s="173"/>
      <c r="FI324" s="173"/>
      <c r="FJ324" s="173"/>
      <c r="FK324" s="173"/>
      <c r="FL324" s="173"/>
      <c r="FM324" s="173"/>
      <c r="FN324" s="173"/>
      <c r="FO324" s="173"/>
      <c r="FP324" s="173"/>
      <c r="FQ324" s="173"/>
      <c r="FR324" s="173"/>
      <c r="FS324" s="173"/>
      <c r="FT324" s="173"/>
      <c r="FU324" s="173"/>
      <c r="FV324" s="173"/>
      <c r="FW324" s="173"/>
      <c r="FX324" s="173"/>
      <c r="FY324" s="173"/>
      <c r="FZ324" s="173"/>
      <c r="GA324" s="173"/>
      <c r="GB324" s="173"/>
      <c r="GC324" s="173"/>
      <c r="GD324" s="173"/>
      <c r="GE324" s="173"/>
      <c r="GF324" s="173"/>
      <c r="GG324" s="173"/>
      <c r="GH324" s="173"/>
      <c r="GI324" s="173"/>
      <c r="GJ324" s="173"/>
      <c r="GK324" s="173"/>
      <c r="GL324" s="173"/>
      <c r="GM324" s="173"/>
      <c r="GN324" s="173"/>
      <c r="GO324" s="173"/>
      <c r="GP324" s="173"/>
      <c r="GQ324" s="173"/>
      <c r="GR324" s="173"/>
      <c r="GS324" s="173"/>
      <c r="GT324" s="173"/>
      <c r="GU324" s="173"/>
      <c r="GV324" s="173"/>
      <c r="GW324" s="173"/>
      <c r="GX324" s="173"/>
      <c r="GY324" s="173"/>
      <c r="GZ324" s="173"/>
      <c r="HA324" s="173"/>
      <c r="HB324" s="173"/>
      <c r="HC324" s="173"/>
      <c r="HD324" s="173"/>
      <c r="HE324" s="173"/>
      <c r="HF324" s="173"/>
      <c r="HG324" s="173"/>
      <c r="HH324" s="173"/>
      <c r="HI324" s="173"/>
      <c r="HJ324" s="173"/>
      <c r="HK324" s="173"/>
      <c r="HL324" s="173"/>
      <c r="HM324" s="173"/>
      <c r="HN324" s="173"/>
      <c r="HO324" s="173"/>
      <c r="HP324" s="173"/>
      <c r="HQ324" s="173"/>
      <c r="HR324" s="173"/>
      <c r="HS324" s="173"/>
      <c r="HT324" s="173"/>
      <c r="HU324" s="173"/>
      <c r="HV324" s="173"/>
      <c r="HW324" s="173"/>
      <c r="HX324" s="173"/>
      <c r="HY324" s="173"/>
      <c r="HZ324" s="173"/>
      <c r="IA324" s="173"/>
      <c r="IB324" s="173"/>
      <c r="IC324" s="173"/>
      <c r="ID324" s="173"/>
      <c r="IE324" s="173"/>
      <c r="IF324" s="173"/>
      <c r="IG324" s="173"/>
      <c r="IH324" s="173"/>
      <c r="II324" s="173"/>
      <c r="IJ324" s="173"/>
      <c r="IK324" s="173"/>
      <c r="IL324" s="173"/>
      <c r="IM324" s="173"/>
      <c r="IN324" s="173"/>
      <c r="IO324" s="173"/>
      <c r="IP324" s="173"/>
      <c r="IQ324" s="173"/>
      <c r="IR324" s="173"/>
      <c r="IS324" s="173"/>
      <c r="IT324" s="173"/>
      <c r="IU324" s="173"/>
      <c r="IV324" s="173"/>
      <c r="IW324" s="173"/>
      <c r="IX324" s="173"/>
      <c r="IY324" s="173"/>
      <c r="IZ324" s="173"/>
      <c r="JA324" s="173"/>
      <c r="JB324" s="173"/>
      <c r="JC324" s="173"/>
      <c r="JD324" s="173"/>
      <c r="JE324" s="173"/>
      <c r="JF324" s="173"/>
      <c r="JG324" s="173"/>
      <c r="JH324" s="173"/>
      <c r="JI324" s="173"/>
      <c r="JJ324" s="173"/>
      <c r="JK324" s="173"/>
      <c r="JL324" s="173"/>
      <c r="JM324" s="173"/>
      <c r="JN324" s="173"/>
      <c r="JO324" s="173"/>
      <c r="JP324" s="173"/>
      <c r="JQ324" s="173"/>
      <c r="JR324" s="173"/>
      <c r="JS324" s="173"/>
      <c r="JT324" s="173"/>
      <c r="JU324" s="173"/>
      <c r="JV324" s="173"/>
      <c r="JW324" s="173"/>
      <c r="JX324" s="173"/>
      <c r="JY324" s="173"/>
      <c r="JZ324" s="173"/>
      <c r="KA324" s="173"/>
      <c r="KB324" s="173"/>
      <c r="KC324" s="173"/>
      <c r="KD324" s="173"/>
      <c r="KE324" s="173"/>
      <c r="KF324" s="173"/>
      <c r="KG324" s="173"/>
      <c r="KH324" s="173"/>
      <c r="KI324" s="173"/>
      <c r="KJ324" s="173"/>
      <c r="KK324" s="173"/>
      <c r="KL324" s="173"/>
      <c r="KM324" s="173"/>
      <c r="KN324" s="173"/>
      <c r="KO324" s="173"/>
      <c r="KP324" s="173"/>
      <c r="KQ324" s="173"/>
      <c r="KR324" s="173"/>
      <c r="KS324" s="173"/>
      <c r="KT324" s="173"/>
      <c r="KU324" s="173"/>
      <c r="KV324" s="173"/>
      <c r="KW324" s="173"/>
      <c r="KX324" s="173"/>
      <c r="KY324" s="173"/>
      <c r="KZ324" s="173"/>
      <c r="LA324" s="173"/>
      <c r="LB324" s="173"/>
      <c r="LC324" s="173"/>
      <c r="LD324" s="173"/>
      <c r="LE324" s="173"/>
      <c r="LF324" s="173"/>
      <c r="LG324" s="173"/>
      <c r="LH324" s="173"/>
      <c r="LI324" s="173"/>
      <c r="LJ324" s="173"/>
      <c r="LK324" s="173"/>
      <c r="LL324" s="173"/>
      <c r="LM324" s="173"/>
      <c r="LN324" s="173"/>
      <c r="LO324" s="173"/>
      <c r="LP324" s="173"/>
      <c r="LQ324" s="173"/>
      <c r="LR324" s="173"/>
      <c r="LS324" s="173"/>
      <c r="LT324" s="173"/>
      <c r="LU324" s="173"/>
      <c r="LV324" s="173"/>
      <c r="LW324" s="173"/>
      <c r="LX324" s="173"/>
      <c r="LY324" s="173"/>
      <c r="LZ324" s="173"/>
      <c r="MA324" s="173"/>
      <c r="MB324" s="173"/>
      <c r="MC324" s="173"/>
      <c r="MD324" s="173"/>
      <c r="ME324" s="173"/>
      <c r="MF324" s="173"/>
      <c r="MG324" s="173"/>
      <c r="MH324" s="173"/>
      <c r="MI324" s="173"/>
      <c r="MJ324" s="173"/>
      <c r="MK324" s="173"/>
      <c r="ML324" s="173"/>
      <c r="MM324" s="173"/>
      <c r="MN324" s="173"/>
      <c r="MO324" s="173"/>
      <c r="MP324" s="173"/>
      <c r="MQ324" s="173"/>
      <c r="MR324" s="173"/>
      <c r="MS324" s="173"/>
      <c r="MT324" s="173"/>
      <c r="MU324" s="173"/>
      <c r="MV324" s="173"/>
      <c r="MW324" s="173"/>
      <c r="MX324" s="173"/>
      <c r="MY324" s="173"/>
      <c r="MZ324" s="173"/>
      <c r="NA324" s="173"/>
      <c r="NB324" s="173"/>
      <c r="NC324" s="173"/>
      <c r="ND324" s="173"/>
      <c r="NE324" s="173"/>
      <c r="NF324" s="173"/>
      <c r="NG324" s="173"/>
      <c r="NH324" s="173"/>
      <c r="NI324" s="173"/>
      <c r="NJ324" s="173"/>
      <c r="NK324" s="173"/>
      <c r="NL324" s="173"/>
      <c r="NM324" s="173"/>
      <c r="NN324" s="173"/>
      <c r="NO324" s="173"/>
      <c r="NP324" s="173"/>
      <c r="NQ324" s="173"/>
      <c r="NR324" s="173"/>
      <c r="NS324" s="173"/>
      <c r="NT324" s="173"/>
      <c r="NU324" s="173"/>
      <c r="NV324" s="173"/>
      <c r="NW324" s="173"/>
      <c r="NX324" s="173"/>
      <c r="NY324" s="173"/>
      <c r="NZ324" s="173"/>
      <c r="OA324" s="173"/>
      <c r="OB324" s="173"/>
      <c r="OC324" s="173"/>
      <c r="OD324" s="173"/>
      <c r="OE324" s="173"/>
      <c r="OF324" s="173"/>
      <c r="OG324" s="173"/>
      <c r="OH324" s="173"/>
      <c r="OI324" s="173"/>
      <c r="OJ324" s="173"/>
      <c r="OK324" s="173"/>
      <c r="OL324" s="173"/>
      <c r="OM324" s="173"/>
      <c r="ON324" s="173"/>
      <c r="OO324" s="173"/>
      <c r="OP324" s="173"/>
      <c r="OQ324" s="173"/>
      <c r="OR324" s="173"/>
      <c r="OS324" s="173"/>
      <c r="OT324" s="173"/>
      <c r="OU324" s="173"/>
      <c r="OV324" s="173"/>
      <c r="OW324" s="173"/>
      <c r="OX324" s="173"/>
      <c r="OY324" s="173"/>
      <c r="OZ324" s="173"/>
      <c r="PA324" s="173"/>
      <c r="PB324" s="173"/>
      <c r="PC324" s="173"/>
      <c r="PD324" s="173"/>
      <c r="PE324" s="173"/>
      <c r="PF324" s="173"/>
      <c r="PG324" s="173"/>
      <c r="PH324" s="173"/>
      <c r="PI324" s="173"/>
      <c r="PJ324" s="173"/>
      <c r="PK324" s="173"/>
      <c r="PL324" s="173"/>
      <c r="PM324" s="173"/>
      <c r="PN324" s="173"/>
      <c r="PO324" s="173"/>
      <c r="PP324" s="173"/>
      <c r="PQ324" s="173"/>
      <c r="PR324" s="173"/>
      <c r="PS324" s="173"/>
      <c r="PT324" s="173"/>
      <c r="PU324" s="173"/>
      <c r="PV324" s="173"/>
      <c r="PW324" s="173"/>
      <c r="PX324" s="173"/>
      <c r="PY324" s="173"/>
      <c r="PZ324" s="173"/>
      <c r="QA324" s="173"/>
      <c r="QB324" s="173"/>
      <c r="QC324" s="173"/>
      <c r="QD324" s="173"/>
      <c r="QE324" s="173"/>
      <c r="QF324" s="173"/>
      <c r="QG324" s="173"/>
      <c r="QH324" s="173"/>
      <c r="QI324" s="173"/>
      <c r="QJ324" s="173"/>
      <c r="QK324" s="173"/>
      <c r="QL324" s="173"/>
      <c r="QM324" s="173"/>
      <c r="QN324" s="173"/>
      <c r="QO324" s="173"/>
      <c r="QP324" s="173"/>
      <c r="QQ324" s="173"/>
      <c r="QR324" s="173"/>
      <c r="QS324" s="173"/>
      <c r="QT324" s="173"/>
      <c r="QU324" s="173"/>
      <c r="QV324" s="173"/>
      <c r="QW324" s="173"/>
      <c r="QX324" s="173"/>
      <c r="QY324" s="173"/>
      <c r="QZ324" s="173"/>
      <c r="RA324" s="173"/>
      <c r="RB324" s="173"/>
      <c r="RC324" s="173"/>
      <c r="RD324" s="173"/>
      <c r="RE324" s="173"/>
      <c r="RF324" s="173"/>
      <c r="RG324" s="173"/>
      <c r="RH324" s="173"/>
      <c r="RI324" s="173"/>
      <c r="RJ324" s="173"/>
      <c r="RK324" s="173"/>
      <c r="RL324" s="173"/>
      <c r="RM324" s="173"/>
      <c r="RN324" s="173"/>
      <c r="RO324" s="173"/>
      <c r="RP324" s="173"/>
      <c r="RQ324" s="173"/>
      <c r="RR324" s="173"/>
      <c r="RS324" s="173"/>
      <c r="RT324" s="173"/>
      <c r="RU324" s="173"/>
      <c r="RV324" s="173"/>
      <c r="RW324" s="173"/>
      <c r="RX324" s="173"/>
      <c r="RY324" s="173"/>
      <c r="RZ324" s="173"/>
      <c r="SA324" s="173"/>
      <c r="SB324" s="173"/>
      <c r="SC324" s="173"/>
      <c r="SD324" s="173"/>
      <c r="SE324" s="173"/>
      <c r="SF324" s="173"/>
      <c r="SG324" s="173"/>
      <c r="SH324" s="173"/>
      <c r="SI324" s="173"/>
      <c r="SJ324" s="173"/>
      <c r="SK324" s="173"/>
      <c r="SL324" s="173"/>
      <c r="SM324" s="173"/>
      <c r="SN324" s="173"/>
      <c r="SO324" s="173"/>
      <c r="SP324" s="173"/>
      <c r="SQ324" s="173"/>
      <c r="SR324" s="173"/>
      <c r="SS324" s="173"/>
      <c r="ST324" s="173"/>
      <c r="SU324" s="173"/>
      <c r="SV324" s="173"/>
      <c r="SW324" s="173"/>
      <c r="SX324" s="173"/>
      <c r="SY324" s="173"/>
      <c r="SZ324" s="173"/>
      <c r="TA324" s="173"/>
      <c r="TB324" s="173"/>
      <c r="TC324" s="173"/>
      <c r="TD324" s="173"/>
      <c r="TE324" s="173"/>
      <c r="TF324" s="173"/>
      <c r="TG324" s="173"/>
      <c r="TH324" s="173"/>
      <c r="TI324" s="173"/>
      <c r="TJ324" s="173"/>
      <c r="TK324" s="173"/>
      <c r="TL324" s="173"/>
      <c r="TM324" s="173"/>
      <c r="TN324" s="173"/>
      <c r="TO324" s="173"/>
      <c r="TP324" s="173"/>
      <c r="TQ324" s="173"/>
      <c r="TR324" s="173"/>
      <c r="TS324" s="173"/>
      <c r="TT324" s="173"/>
      <c r="TU324" s="173"/>
      <c r="TV324" s="173"/>
      <c r="TW324" s="173"/>
      <c r="TX324" s="173"/>
      <c r="TY324" s="173"/>
      <c r="TZ324" s="173"/>
      <c r="UA324" s="173"/>
      <c r="UB324" s="173"/>
      <c r="UC324" s="173"/>
      <c r="UD324" s="173"/>
      <c r="UE324" s="173"/>
      <c r="UF324" s="173"/>
      <c r="UG324" s="173"/>
      <c r="UH324" s="173"/>
      <c r="UI324" s="173"/>
      <c r="UJ324" s="173"/>
      <c r="UK324" s="173"/>
      <c r="UL324" s="173"/>
      <c r="UM324" s="173"/>
      <c r="UN324" s="173"/>
      <c r="UO324" s="173"/>
      <c r="UP324" s="173"/>
      <c r="UQ324" s="173"/>
      <c r="UR324" s="173"/>
      <c r="US324" s="173"/>
      <c r="UT324" s="173"/>
      <c r="UU324" s="173"/>
      <c r="UV324" s="173"/>
      <c r="UW324" s="173"/>
      <c r="UX324" s="173"/>
      <c r="UY324" s="173"/>
      <c r="UZ324" s="173"/>
      <c r="VA324" s="173"/>
      <c r="VB324" s="173"/>
      <c r="VC324" s="173"/>
      <c r="VD324" s="173"/>
      <c r="VE324" s="173"/>
      <c r="VF324" s="173"/>
      <c r="VG324" s="173"/>
      <c r="VH324" s="173"/>
      <c r="VI324" s="173"/>
      <c r="VJ324" s="173"/>
      <c r="VK324" s="173"/>
      <c r="VL324" s="173"/>
      <c r="VM324" s="173"/>
      <c r="VN324" s="173"/>
      <c r="VO324" s="173"/>
      <c r="VP324" s="173"/>
      <c r="VQ324" s="173"/>
      <c r="VR324" s="173"/>
      <c r="VS324" s="173"/>
      <c r="VT324" s="173"/>
      <c r="VU324" s="173"/>
      <c r="VV324" s="173"/>
      <c r="VW324" s="173"/>
      <c r="VX324" s="173"/>
      <c r="VY324" s="173"/>
      <c r="VZ324" s="173"/>
      <c r="WA324" s="173"/>
      <c r="WB324" s="173"/>
      <c r="WC324" s="173"/>
      <c r="WD324" s="173"/>
      <c r="WE324" s="173"/>
      <c r="WF324" s="173"/>
      <c r="WG324" s="173"/>
      <c r="WH324" s="173"/>
      <c r="WI324" s="173"/>
      <c r="WJ324" s="173"/>
      <c r="WK324" s="173"/>
      <c r="WL324" s="173"/>
      <c r="WM324" s="173"/>
      <c r="WN324" s="173"/>
      <c r="WO324" s="173"/>
      <c r="WP324" s="173"/>
    </row>
    <row r="325" spans="1:614">
      <c r="A325" s="173"/>
      <c r="B325" s="173"/>
      <c r="C325" s="173"/>
      <c r="D325" s="173"/>
      <c r="E325" s="173"/>
      <c r="F325" s="173"/>
      <c r="G325" s="173"/>
      <c r="H325" s="173"/>
      <c r="I325" s="173"/>
      <c r="J325" s="173"/>
      <c r="K325" s="173"/>
      <c r="L325" s="173"/>
      <c r="M325" s="173"/>
      <c r="N325" s="173"/>
      <c r="O325" s="173"/>
      <c r="P325" s="173"/>
      <c r="Q325" s="173"/>
      <c r="R325" s="173"/>
      <c r="S325" s="173"/>
      <c r="T325" s="173"/>
      <c r="U325" s="173"/>
      <c r="V325" s="173"/>
      <c r="W325" s="173"/>
      <c r="X325" s="173"/>
      <c r="Y325" s="173"/>
      <c r="Z325" s="173"/>
      <c r="AA325" s="173"/>
      <c r="AB325" s="173"/>
      <c r="AC325" s="173"/>
      <c r="AD325" s="173"/>
      <c r="AE325" s="173"/>
      <c r="AF325" s="173"/>
      <c r="AG325" s="173"/>
      <c r="AH325" s="173"/>
      <c r="AI325" s="173"/>
      <c r="AJ325" s="173"/>
      <c r="AK325" s="173"/>
      <c r="AL325" s="173"/>
      <c r="AM325" s="173"/>
      <c r="AN325" s="173"/>
      <c r="AO325" s="173"/>
      <c r="AP325" s="173"/>
      <c r="AQ325" s="173"/>
      <c r="AR325" s="173"/>
      <c r="AS325" s="173"/>
      <c r="AT325" s="173"/>
      <c r="AU325" s="173"/>
      <c r="AV325" s="173"/>
      <c r="AW325" s="173"/>
      <c r="AX325" s="173"/>
      <c r="AY325" s="173"/>
      <c r="AZ325" s="173"/>
      <c r="BA325" s="173"/>
      <c r="BB325" s="173"/>
      <c r="BC325" s="173"/>
      <c r="BD325" s="173"/>
      <c r="BE325" s="173"/>
      <c r="BF325" s="173"/>
      <c r="BG325" s="173"/>
      <c r="BH325" s="173"/>
      <c r="BI325" s="173"/>
      <c r="BJ325" s="173"/>
      <c r="BK325" s="173"/>
      <c r="BL325" s="173"/>
      <c r="BM325" s="173"/>
      <c r="BN325" s="173"/>
      <c r="BO325" s="173"/>
      <c r="BP325" s="173"/>
      <c r="BQ325" s="173"/>
      <c r="BR325" s="173"/>
      <c r="BS325" s="173"/>
      <c r="BT325" s="173"/>
      <c r="BU325" s="173"/>
      <c r="BV325" s="173"/>
      <c r="BW325" s="173"/>
      <c r="BX325" s="173"/>
      <c r="BY325" s="173"/>
      <c r="BZ325" s="173"/>
      <c r="CA325" s="173"/>
      <c r="CB325" s="173"/>
      <c r="CC325" s="173"/>
      <c r="CD325" s="173"/>
      <c r="CE325" s="173"/>
      <c r="CF325" s="173"/>
      <c r="CG325" s="173"/>
      <c r="CH325" s="173"/>
      <c r="CI325" s="173"/>
      <c r="CJ325" s="173"/>
      <c r="CK325" s="173"/>
      <c r="CL325" s="173"/>
      <c r="CM325" s="173"/>
      <c r="CN325" s="173"/>
      <c r="CO325" s="173"/>
      <c r="CP325" s="173"/>
      <c r="CQ325" s="173"/>
      <c r="CR325" s="173"/>
      <c r="CS325" s="173"/>
      <c r="CT325" s="173"/>
      <c r="CU325" s="173"/>
      <c r="CV325" s="173"/>
      <c r="CW325" s="173"/>
      <c r="CX325" s="173"/>
      <c r="CY325" s="173"/>
      <c r="CZ325" s="173"/>
      <c r="DA325" s="173"/>
      <c r="DB325" s="173"/>
      <c r="DC325" s="173"/>
      <c r="DD325" s="173"/>
      <c r="DE325" s="173"/>
      <c r="DF325" s="173"/>
      <c r="DG325" s="173"/>
      <c r="DH325" s="173"/>
      <c r="DI325" s="173"/>
      <c r="DJ325" s="173"/>
      <c r="DK325" s="173"/>
      <c r="DL325" s="173"/>
      <c r="DM325" s="173"/>
      <c r="DN325" s="173"/>
      <c r="DO325" s="173"/>
      <c r="DP325" s="173"/>
      <c r="DQ325" s="173"/>
      <c r="DR325" s="173"/>
      <c r="DS325" s="173"/>
      <c r="DT325" s="173"/>
      <c r="DU325" s="173"/>
      <c r="DV325" s="173"/>
      <c r="DW325" s="173"/>
      <c r="DX325" s="173"/>
      <c r="DY325" s="173"/>
      <c r="DZ325" s="173"/>
      <c r="EA325" s="173"/>
      <c r="EB325" s="173"/>
      <c r="EC325" s="173"/>
      <c r="ED325" s="173"/>
      <c r="EE325" s="173"/>
      <c r="EF325" s="173"/>
      <c r="EG325" s="173"/>
      <c r="EH325" s="173"/>
      <c r="EI325" s="173"/>
      <c r="EJ325" s="173"/>
      <c r="EK325" s="173"/>
      <c r="EL325" s="173"/>
      <c r="EM325" s="173"/>
      <c r="EN325" s="173"/>
      <c r="EO325" s="173"/>
      <c r="EP325" s="173"/>
      <c r="EQ325" s="173"/>
      <c r="ER325" s="173"/>
      <c r="ES325" s="173"/>
      <c r="ET325" s="173"/>
      <c r="EU325" s="173"/>
      <c r="EV325" s="173"/>
      <c r="EW325" s="173"/>
      <c r="EX325" s="173"/>
      <c r="EY325" s="173"/>
      <c r="EZ325" s="173"/>
      <c r="FA325" s="173"/>
      <c r="FB325" s="173"/>
      <c r="FC325" s="173"/>
      <c r="FD325" s="173"/>
      <c r="FE325" s="173"/>
      <c r="FF325" s="173"/>
      <c r="FG325" s="173"/>
      <c r="FH325" s="173"/>
      <c r="FI325" s="173"/>
      <c r="FJ325" s="173"/>
      <c r="FK325" s="173"/>
      <c r="FL325" s="173"/>
      <c r="FM325" s="173"/>
      <c r="FN325" s="173"/>
      <c r="FO325" s="173"/>
      <c r="FP325" s="173"/>
      <c r="FQ325" s="173"/>
      <c r="FR325" s="173"/>
      <c r="FS325" s="173"/>
      <c r="FT325" s="173"/>
      <c r="FU325" s="173"/>
      <c r="FV325" s="173"/>
      <c r="FW325" s="173"/>
      <c r="FX325" s="173"/>
      <c r="FY325" s="173"/>
      <c r="FZ325" s="173"/>
      <c r="GA325" s="173"/>
      <c r="GB325" s="173"/>
      <c r="GC325" s="173"/>
      <c r="GD325" s="173"/>
      <c r="GE325" s="173"/>
      <c r="GF325" s="173"/>
      <c r="GG325" s="173"/>
      <c r="GH325" s="173"/>
      <c r="GI325" s="173"/>
      <c r="GJ325" s="173"/>
      <c r="GK325" s="173"/>
      <c r="GL325" s="173"/>
      <c r="GM325" s="173"/>
      <c r="GN325" s="173"/>
      <c r="GO325" s="173"/>
      <c r="GP325" s="173"/>
      <c r="GQ325" s="173"/>
      <c r="GR325" s="173"/>
      <c r="GS325" s="173"/>
      <c r="GT325" s="173"/>
      <c r="GU325" s="173"/>
      <c r="GV325" s="173"/>
      <c r="GW325" s="173"/>
      <c r="GX325" s="173"/>
      <c r="GY325" s="173"/>
      <c r="GZ325" s="173"/>
      <c r="HA325" s="173"/>
      <c r="HB325" s="173"/>
      <c r="HC325" s="173"/>
      <c r="HD325" s="173"/>
      <c r="HE325" s="173"/>
      <c r="HF325" s="173"/>
      <c r="HG325" s="173"/>
      <c r="HH325" s="173"/>
      <c r="HI325" s="173"/>
      <c r="HJ325" s="173"/>
      <c r="HK325" s="173"/>
      <c r="HL325" s="173"/>
      <c r="HM325" s="173"/>
      <c r="HN325" s="173"/>
      <c r="HO325" s="173"/>
      <c r="HP325" s="173"/>
      <c r="HQ325" s="173"/>
      <c r="HR325" s="173"/>
      <c r="HS325" s="173"/>
      <c r="HT325" s="173"/>
      <c r="HU325" s="173"/>
      <c r="HV325" s="173"/>
      <c r="HW325" s="173"/>
      <c r="HX325" s="173"/>
      <c r="HY325" s="173"/>
      <c r="HZ325" s="173"/>
      <c r="IA325" s="173"/>
      <c r="IB325" s="173"/>
      <c r="IC325" s="173"/>
      <c r="ID325" s="173"/>
      <c r="IE325" s="173"/>
      <c r="IF325" s="173"/>
      <c r="IG325" s="173"/>
      <c r="IH325" s="173"/>
      <c r="II325" s="173"/>
      <c r="IJ325" s="173"/>
      <c r="IK325" s="173"/>
      <c r="IL325" s="173"/>
      <c r="IM325" s="173"/>
      <c r="IN325" s="173"/>
      <c r="IO325" s="173"/>
      <c r="IP325" s="173"/>
      <c r="IQ325" s="173"/>
      <c r="IR325" s="173"/>
      <c r="IS325" s="173"/>
      <c r="IT325" s="173"/>
      <c r="IU325" s="173"/>
      <c r="IV325" s="173"/>
      <c r="IW325" s="173"/>
      <c r="IX325" s="173"/>
      <c r="IY325" s="173"/>
      <c r="IZ325" s="173"/>
      <c r="JA325" s="173"/>
      <c r="JB325" s="173"/>
      <c r="JC325" s="173"/>
      <c r="JD325" s="173"/>
      <c r="JE325" s="173"/>
      <c r="JF325" s="173"/>
      <c r="JG325" s="173"/>
      <c r="JH325" s="173"/>
      <c r="JI325" s="173"/>
      <c r="JJ325" s="173"/>
      <c r="JK325" s="173"/>
      <c r="JL325" s="173"/>
      <c r="JM325" s="173"/>
      <c r="JN325" s="173"/>
      <c r="JO325" s="173"/>
      <c r="JP325" s="173"/>
      <c r="JQ325" s="173"/>
      <c r="JR325" s="173"/>
      <c r="JS325" s="173"/>
      <c r="JT325" s="173"/>
      <c r="JU325" s="173"/>
      <c r="JV325" s="173"/>
      <c r="JW325" s="173"/>
      <c r="JX325" s="173"/>
      <c r="JY325" s="173"/>
      <c r="JZ325" s="173"/>
      <c r="KA325" s="173"/>
      <c r="KB325" s="173"/>
      <c r="KC325" s="173"/>
      <c r="KD325" s="173"/>
      <c r="KE325" s="173"/>
      <c r="KF325" s="173"/>
      <c r="KG325" s="173"/>
      <c r="KH325" s="173"/>
      <c r="KI325" s="173"/>
      <c r="KJ325" s="173"/>
      <c r="KK325" s="173"/>
      <c r="KL325" s="173"/>
      <c r="KM325" s="173"/>
      <c r="KN325" s="173"/>
      <c r="KO325" s="173"/>
      <c r="KP325" s="173"/>
      <c r="KQ325" s="173"/>
      <c r="KR325" s="173"/>
      <c r="KS325" s="173"/>
      <c r="KT325" s="173"/>
      <c r="KU325" s="173"/>
      <c r="KV325" s="173"/>
      <c r="KW325" s="173"/>
      <c r="KX325" s="173"/>
      <c r="KY325" s="173"/>
      <c r="KZ325" s="173"/>
      <c r="LA325" s="173"/>
      <c r="LB325" s="173"/>
      <c r="LC325" s="173"/>
      <c r="LD325" s="173"/>
      <c r="LE325" s="173"/>
      <c r="LF325" s="173"/>
      <c r="LG325" s="173"/>
      <c r="LH325" s="173"/>
      <c r="LI325" s="173"/>
      <c r="LJ325" s="173"/>
      <c r="LK325" s="173"/>
      <c r="LL325" s="173"/>
      <c r="LM325" s="173"/>
      <c r="LN325" s="173"/>
      <c r="LO325" s="173"/>
      <c r="LP325" s="173"/>
      <c r="LQ325" s="173"/>
      <c r="LR325" s="173"/>
      <c r="LS325" s="173"/>
      <c r="LT325" s="173"/>
      <c r="LU325" s="173"/>
      <c r="LV325" s="173"/>
      <c r="LW325" s="173"/>
      <c r="LX325" s="173"/>
      <c r="LY325" s="173"/>
      <c r="LZ325" s="173"/>
      <c r="MA325" s="173"/>
      <c r="MB325" s="173"/>
      <c r="MC325" s="173"/>
      <c r="MD325" s="173"/>
      <c r="ME325" s="173"/>
      <c r="MF325" s="173"/>
      <c r="MG325" s="173"/>
      <c r="MH325" s="173"/>
      <c r="MI325" s="173"/>
      <c r="MJ325" s="173"/>
      <c r="MK325" s="173"/>
      <c r="ML325" s="173"/>
      <c r="MM325" s="173"/>
      <c r="MN325" s="173"/>
      <c r="MO325" s="173"/>
      <c r="MP325" s="173"/>
      <c r="MQ325" s="173"/>
      <c r="MR325" s="173"/>
      <c r="MS325" s="173"/>
      <c r="MT325" s="173"/>
      <c r="MU325" s="173"/>
      <c r="MV325" s="173"/>
      <c r="MW325" s="173"/>
      <c r="MX325" s="173"/>
      <c r="MY325" s="173"/>
      <c r="MZ325" s="173"/>
      <c r="NA325" s="173"/>
      <c r="NB325" s="173"/>
      <c r="NC325" s="173"/>
      <c r="ND325" s="173"/>
      <c r="NE325" s="173"/>
      <c r="NF325" s="173"/>
      <c r="NG325" s="173"/>
      <c r="NH325" s="173"/>
      <c r="NI325" s="173"/>
      <c r="NJ325" s="173"/>
      <c r="NK325" s="173"/>
      <c r="NL325" s="173"/>
      <c r="NM325" s="173"/>
      <c r="NN325" s="173"/>
      <c r="NO325" s="173"/>
      <c r="NP325" s="173"/>
      <c r="NQ325" s="173"/>
      <c r="NR325" s="173"/>
      <c r="NS325" s="173"/>
      <c r="NT325" s="173"/>
      <c r="NU325" s="173"/>
      <c r="NV325" s="173"/>
      <c r="NW325" s="173"/>
      <c r="NX325" s="173"/>
      <c r="NY325" s="173"/>
      <c r="NZ325" s="173"/>
      <c r="OA325" s="173"/>
      <c r="OB325" s="173"/>
      <c r="OC325" s="173"/>
      <c r="OD325" s="173"/>
      <c r="OE325" s="173"/>
      <c r="OF325" s="173"/>
      <c r="OG325" s="173"/>
      <c r="OH325" s="173"/>
      <c r="OI325" s="173"/>
      <c r="OJ325" s="173"/>
      <c r="OK325" s="173"/>
      <c r="OL325" s="173"/>
      <c r="OM325" s="173"/>
      <c r="ON325" s="173"/>
      <c r="OO325" s="173"/>
      <c r="OP325" s="173"/>
      <c r="OQ325" s="173"/>
      <c r="OR325" s="173"/>
      <c r="OS325" s="173"/>
      <c r="OT325" s="173"/>
      <c r="OU325" s="173"/>
      <c r="OV325" s="173"/>
      <c r="OW325" s="173"/>
      <c r="OX325" s="173"/>
      <c r="OY325" s="173"/>
      <c r="OZ325" s="173"/>
      <c r="PA325" s="173"/>
      <c r="PB325" s="173"/>
      <c r="PC325" s="173"/>
      <c r="PD325" s="173"/>
      <c r="PE325" s="173"/>
      <c r="PF325" s="173"/>
      <c r="PG325" s="173"/>
      <c r="PH325" s="173"/>
      <c r="PI325" s="173"/>
      <c r="PJ325" s="173"/>
      <c r="PK325" s="173"/>
      <c r="PL325" s="173"/>
      <c r="PM325" s="173"/>
      <c r="PN325" s="173"/>
      <c r="PO325" s="173"/>
      <c r="PP325" s="173"/>
      <c r="PQ325" s="173"/>
      <c r="PR325" s="173"/>
      <c r="PS325" s="173"/>
      <c r="PT325" s="173"/>
      <c r="PU325" s="173"/>
      <c r="PV325" s="173"/>
      <c r="PW325" s="173"/>
      <c r="PX325" s="173"/>
      <c r="PY325" s="173"/>
      <c r="PZ325" s="173"/>
      <c r="QA325" s="173"/>
      <c r="QB325" s="173"/>
      <c r="QC325" s="173"/>
      <c r="QD325" s="173"/>
      <c r="QE325" s="173"/>
      <c r="QF325" s="173"/>
      <c r="QG325" s="173"/>
      <c r="QH325" s="173"/>
      <c r="QI325" s="173"/>
      <c r="QJ325" s="173"/>
      <c r="QK325" s="173"/>
      <c r="QL325" s="173"/>
      <c r="QM325" s="173"/>
      <c r="QN325" s="173"/>
      <c r="QO325" s="173"/>
      <c r="QP325" s="173"/>
      <c r="QQ325" s="173"/>
      <c r="QR325" s="173"/>
      <c r="QS325" s="173"/>
      <c r="QT325" s="173"/>
      <c r="QU325" s="173"/>
      <c r="QV325" s="173"/>
      <c r="QW325" s="173"/>
      <c r="QX325" s="173"/>
      <c r="QY325" s="173"/>
      <c r="QZ325" s="173"/>
      <c r="RA325" s="173"/>
      <c r="RB325" s="173"/>
      <c r="RC325" s="173"/>
      <c r="RD325" s="173"/>
      <c r="RE325" s="173"/>
      <c r="RF325" s="173"/>
      <c r="RG325" s="173"/>
      <c r="RH325" s="173"/>
      <c r="RI325" s="173"/>
      <c r="RJ325" s="173"/>
      <c r="RK325" s="173"/>
      <c r="RL325" s="173"/>
      <c r="RM325" s="173"/>
      <c r="RN325" s="173"/>
      <c r="RO325" s="173"/>
      <c r="RP325" s="173"/>
      <c r="RQ325" s="173"/>
      <c r="RR325" s="173"/>
      <c r="RS325" s="173"/>
      <c r="RT325" s="173"/>
      <c r="RU325" s="173"/>
      <c r="RV325" s="173"/>
      <c r="RW325" s="173"/>
      <c r="RX325" s="173"/>
      <c r="RY325" s="173"/>
      <c r="RZ325" s="173"/>
      <c r="SA325" s="173"/>
      <c r="SB325" s="173"/>
      <c r="SC325" s="173"/>
      <c r="SD325" s="173"/>
      <c r="SE325" s="173"/>
      <c r="SF325" s="173"/>
      <c r="SG325" s="173"/>
      <c r="SH325" s="173"/>
      <c r="SI325" s="173"/>
      <c r="SJ325" s="173"/>
      <c r="SK325" s="173"/>
      <c r="SL325" s="173"/>
      <c r="SM325" s="173"/>
      <c r="SN325" s="173"/>
      <c r="SO325" s="173"/>
      <c r="SP325" s="173"/>
      <c r="SQ325" s="173"/>
      <c r="SR325" s="173"/>
      <c r="SS325" s="173"/>
      <c r="ST325" s="173"/>
      <c r="SU325" s="173"/>
      <c r="SV325" s="173"/>
      <c r="SW325" s="173"/>
      <c r="SX325" s="173"/>
      <c r="SY325" s="173"/>
      <c r="SZ325" s="173"/>
      <c r="TA325" s="173"/>
      <c r="TB325" s="173"/>
      <c r="TC325" s="173"/>
      <c r="TD325" s="173"/>
      <c r="TE325" s="173"/>
      <c r="TF325" s="173"/>
      <c r="TG325" s="173"/>
      <c r="TH325" s="173"/>
      <c r="TI325" s="173"/>
      <c r="TJ325" s="173"/>
      <c r="TK325" s="173"/>
      <c r="TL325" s="173"/>
      <c r="TM325" s="173"/>
      <c r="TN325" s="173"/>
      <c r="TO325" s="173"/>
      <c r="TP325" s="173"/>
      <c r="TQ325" s="173"/>
      <c r="TR325" s="173"/>
      <c r="TS325" s="173"/>
      <c r="TT325" s="173"/>
      <c r="TU325" s="173"/>
      <c r="TV325" s="173"/>
      <c r="TW325" s="173"/>
      <c r="TX325" s="173"/>
      <c r="TY325" s="173"/>
      <c r="TZ325" s="173"/>
      <c r="UA325" s="173"/>
      <c r="UB325" s="173"/>
      <c r="UC325" s="173"/>
      <c r="UD325" s="173"/>
      <c r="UE325" s="173"/>
      <c r="UF325" s="173"/>
      <c r="UG325" s="173"/>
      <c r="UH325" s="173"/>
      <c r="UI325" s="173"/>
      <c r="UJ325" s="173"/>
      <c r="UK325" s="173"/>
      <c r="UL325" s="173"/>
      <c r="UM325" s="173"/>
      <c r="UN325" s="173"/>
      <c r="UO325" s="173"/>
      <c r="UP325" s="173"/>
      <c r="UQ325" s="173"/>
      <c r="UR325" s="173"/>
      <c r="US325" s="173"/>
      <c r="UT325" s="173"/>
      <c r="UU325" s="173"/>
      <c r="UV325" s="173"/>
      <c r="UW325" s="173"/>
      <c r="UX325" s="173"/>
      <c r="UY325" s="173"/>
      <c r="UZ325" s="173"/>
      <c r="VA325" s="173"/>
      <c r="VB325" s="173"/>
      <c r="VC325" s="173"/>
      <c r="VD325" s="173"/>
      <c r="VE325" s="173"/>
      <c r="VF325" s="173"/>
      <c r="VG325" s="173"/>
      <c r="VH325" s="173"/>
      <c r="VI325" s="173"/>
      <c r="VJ325" s="173"/>
      <c r="VK325" s="173"/>
      <c r="VL325" s="173"/>
      <c r="VM325" s="173"/>
      <c r="VN325" s="173"/>
      <c r="VO325" s="173"/>
      <c r="VP325" s="173"/>
      <c r="VQ325" s="173"/>
      <c r="VR325" s="173"/>
      <c r="VS325" s="173"/>
      <c r="VT325" s="173"/>
      <c r="VU325" s="173"/>
      <c r="VV325" s="173"/>
      <c r="VW325" s="173"/>
      <c r="VX325" s="173"/>
      <c r="VY325" s="173"/>
      <c r="VZ325" s="173"/>
      <c r="WA325" s="173"/>
      <c r="WB325" s="173"/>
      <c r="WC325" s="173"/>
      <c r="WD325" s="173"/>
      <c r="WE325" s="173"/>
      <c r="WF325" s="173"/>
      <c r="WG325" s="173"/>
      <c r="WH325" s="173"/>
      <c r="WI325" s="173"/>
      <c r="WJ325" s="173"/>
      <c r="WK325" s="173"/>
      <c r="WL325" s="173"/>
      <c r="WM325" s="173"/>
      <c r="WN325" s="173"/>
      <c r="WO325" s="173"/>
      <c r="WP325" s="173"/>
    </row>
    <row r="326" spans="1:614">
      <c r="A326" s="173"/>
      <c r="C326" s="173"/>
      <c r="D326" s="173"/>
      <c r="E326" s="173"/>
      <c r="F326" s="173"/>
      <c r="G326" s="173"/>
      <c r="H326" s="173"/>
      <c r="I326" s="173"/>
      <c r="J326" s="173"/>
      <c r="K326" s="173"/>
      <c r="L326" s="173"/>
      <c r="M326" s="173"/>
      <c r="N326" s="173"/>
      <c r="O326" s="173"/>
      <c r="P326" s="173"/>
      <c r="Q326" s="173"/>
      <c r="R326" s="173"/>
      <c r="S326" s="173"/>
      <c r="T326" s="173"/>
      <c r="U326" s="173"/>
      <c r="V326" s="173"/>
      <c r="W326" s="173"/>
      <c r="X326" s="173"/>
      <c r="Y326" s="173"/>
      <c r="Z326" s="173"/>
      <c r="AA326" s="173"/>
      <c r="AB326" s="173"/>
      <c r="AC326" s="173"/>
      <c r="AD326" s="173"/>
      <c r="AE326" s="173"/>
      <c r="AF326" s="173"/>
      <c r="AG326" s="173"/>
      <c r="AH326" s="173"/>
      <c r="AI326" s="173"/>
      <c r="AJ326" s="173"/>
      <c r="AK326" s="173"/>
      <c r="AL326" s="173"/>
      <c r="AM326" s="173"/>
      <c r="AN326" s="173"/>
      <c r="AO326" s="173"/>
      <c r="AP326" s="173"/>
      <c r="AQ326" s="173"/>
      <c r="AR326" s="173"/>
      <c r="AS326" s="173"/>
      <c r="AT326" s="173"/>
      <c r="AU326" s="173"/>
      <c r="AV326" s="173"/>
      <c r="AW326" s="173"/>
      <c r="AX326" s="173"/>
      <c r="AY326" s="173"/>
      <c r="AZ326" s="173"/>
      <c r="BA326" s="173"/>
      <c r="BB326" s="173"/>
      <c r="BC326" s="173"/>
      <c r="BD326" s="173"/>
      <c r="BE326" s="173"/>
      <c r="BF326" s="173"/>
      <c r="BG326" s="173"/>
      <c r="BH326" s="173"/>
      <c r="BI326" s="173"/>
      <c r="BJ326" s="173"/>
      <c r="BK326" s="173"/>
      <c r="BL326" s="173"/>
      <c r="BM326" s="173"/>
      <c r="BN326" s="173"/>
      <c r="BO326" s="173"/>
      <c r="BP326" s="173"/>
      <c r="BQ326" s="173"/>
      <c r="BR326" s="173"/>
      <c r="BS326" s="173"/>
      <c r="BT326" s="173"/>
      <c r="BU326" s="173"/>
      <c r="BV326" s="173"/>
      <c r="BW326" s="173"/>
      <c r="BX326" s="173"/>
      <c r="BY326" s="173"/>
      <c r="BZ326" s="173"/>
      <c r="CA326" s="173"/>
      <c r="CB326" s="173"/>
      <c r="CC326" s="173"/>
      <c r="CD326" s="173"/>
      <c r="CE326" s="173"/>
      <c r="CF326" s="173"/>
      <c r="CG326" s="173"/>
      <c r="CH326" s="173"/>
      <c r="CI326" s="173"/>
      <c r="CJ326" s="173"/>
      <c r="CK326" s="173"/>
      <c r="CL326" s="173"/>
      <c r="CM326" s="173"/>
      <c r="CN326" s="173"/>
      <c r="CO326" s="173"/>
      <c r="CP326" s="173"/>
      <c r="CQ326" s="173"/>
      <c r="CR326" s="173"/>
      <c r="CS326" s="173"/>
      <c r="CT326" s="173"/>
      <c r="CU326" s="173"/>
      <c r="CV326" s="173"/>
      <c r="CW326" s="173"/>
      <c r="CX326" s="173"/>
      <c r="CY326" s="173"/>
      <c r="CZ326" s="173"/>
      <c r="DA326" s="173"/>
      <c r="DB326" s="173"/>
      <c r="DC326" s="173"/>
      <c r="DD326" s="173"/>
      <c r="DE326" s="173"/>
      <c r="DF326" s="173"/>
      <c r="DG326" s="173"/>
      <c r="DH326" s="173"/>
      <c r="DI326" s="173"/>
      <c r="DJ326" s="173"/>
      <c r="DK326" s="173"/>
      <c r="DL326" s="173"/>
      <c r="DM326" s="173"/>
      <c r="DN326" s="173"/>
      <c r="DO326" s="173"/>
      <c r="DP326" s="173"/>
      <c r="DQ326" s="173"/>
      <c r="DR326" s="173"/>
      <c r="DS326" s="173"/>
      <c r="DT326" s="173"/>
      <c r="DU326" s="173"/>
      <c r="DV326" s="173"/>
      <c r="DW326" s="173"/>
      <c r="DX326" s="173"/>
      <c r="DY326" s="173"/>
      <c r="DZ326" s="173"/>
      <c r="EA326" s="173"/>
      <c r="EB326" s="173"/>
      <c r="EC326" s="173"/>
      <c r="ED326" s="173"/>
      <c r="EE326" s="173"/>
      <c r="EF326" s="173"/>
      <c r="EG326" s="173"/>
      <c r="EH326" s="173"/>
      <c r="EI326" s="173"/>
      <c r="EJ326" s="173"/>
      <c r="EK326" s="173"/>
      <c r="EL326" s="173"/>
      <c r="EM326" s="173"/>
      <c r="EN326" s="173"/>
      <c r="EO326" s="173"/>
      <c r="EP326" s="173"/>
      <c r="EQ326" s="173"/>
      <c r="ER326" s="173"/>
      <c r="ES326" s="173"/>
      <c r="ET326" s="173"/>
      <c r="EU326" s="173"/>
      <c r="EV326" s="173"/>
      <c r="EW326" s="173"/>
      <c r="EX326" s="173"/>
      <c r="EY326" s="173"/>
      <c r="EZ326" s="173"/>
      <c r="FA326" s="173"/>
      <c r="FB326" s="173"/>
      <c r="FC326" s="173"/>
      <c r="FD326" s="173"/>
      <c r="FE326" s="173"/>
      <c r="FF326" s="173"/>
      <c r="FG326" s="173"/>
      <c r="FH326" s="173"/>
      <c r="FI326" s="173"/>
      <c r="FJ326" s="173"/>
      <c r="FK326" s="173"/>
      <c r="FL326" s="173"/>
      <c r="FM326" s="173"/>
      <c r="FN326" s="173"/>
      <c r="FO326" s="173"/>
      <c r="FP326" s="173"/>
      <c r="FQ326" s="173"/>
      <c r="FR326" s="173"/>
      <c r="FS326" s="173"/>
      <c r="FT326" s="173"/>
      <c r="FU326" s="173"/>
      <c r="FV326" s="173"/>
      <c r="FW326" s="173"/>
      <c r="FX326" s="173"/>
      <c r="FY326" s="173"/>
      <c r="FZ326" s="173"/>
      <c r="GA326" s="173"/>
      <c r="GB326" s="173"/>
      <c r="GC326" s="173"/>
      <c r="GD326" s="173"/>
      <c r="GE326" s="173"/>
      <c r="GF326" s="173"/>
      <c r="GG326" s="173"/>
      <c r="GH326" s="173"/>
      <c r="GI326" s="173"/>
      <c r="GJ326" s="173"/>
      <c r="GK326" s="173"/>
      <c r="GL326" s="173"/>
      <c r="GM326" s="173"/>
      <c r="GN326" s="173"/>
      <c r="GO326" s="173"/>
      <c r="GP326" s="173"/>
      <c r="GQ326" s="173"/>
      <c r="GR326" s="173"/>
      <c r="GS326" s="173"/>
      <c r="GT326" s="173"/>
      <c r="GU326" s="173"/>
      <c r="GV326" s="173"/>
      <c r="GW326" s="173"/>
      <c r="GX326" s="173"/>
      <c r="GY326" s="173"/>
      <c r="GZ326" s="173"/>
      <c r="HA326" s="173"/>
      <c r="HB326" s="173"/>
      <c r="HC326" s="173"/>
      <c r="HD326" s="173"/>
      <c r="HE326" s="173"/>
      <c r="HF326" s="173"/>
      <c r="HG326" s="173"/>
      <c r="HH326" s="173"/>
      <c r="HI326" s="173"/>
      <c r="HJ326" s="173"/>
      <c r="HK326" s="173"/>
      <c r="HL326" s="173"/>
      <c r="HM326" s="173"/>
      <c r="HN326" s="173"/>
      <c r="HO326" s="173"/>
      <c r="HP326" s="173"/>
      <c r="HQ326" s="173"/>
      <c r="HR326" s="173"/>
      <c r="HS326" s="173"/>
      <c r="HT326" s="173"/>
      <c r="HU326" s="173"/>
      <c r="HV326" s="173"/>
      <c r="HW326" s="173"/>
      <c r="HX326" s="173"/>
      <c r="HY326" s="173"/>
      <c r="HZ326" s="173"/>
      <c r="IA326" s="173"/>
      <c r="IB326" s="173"/>
      <c r="IC326" s="173"/>
      <c r="ID326" s="173"/>
      <c r="IE326" s="173"/>
      <c r="IF326" s="173"/>
      <c r="IG326" s="173"/>
      <c r="IH326" s="173"/>
      <c r="II326" s="173"/>
      <c r="IJ326" s="173"/>
      <c r="IK326" s="173"/>
      <c r="IL326" s="173"/>
      <c r="IM326" s="173"/>
      <c r="IN326" s="173"/>
      <c r="IO326" s="173"/>
      <c r="IP326" s="173"/>
      <c r="IQ326" s="173"/>
      <c r="IR326" s="173"/>
      <c r="IS326" s="173"/>
      <c r="IT326" s="173"/>
      <c r="IU326" s="173"/>
      <c r="IV326" s="173"/>
      <c r="IW326" s="173"/>
      <c r="IX326" s="173"/>
      <c r="IY326" s="173"/>
      <c r="IZ326" s="173"/>
      <c r="JA326" s="173"/>
      <c r="JB326" s="173"/>
      <c r="JC326" s="173"/>
      <c r="JD326" s="173"/>
      <c r="JE326" s="173"/>
      <c r="JF326" s="173"/>
      <c r="JG326" s="173"/>
      <c r="JH326" s="173"/>
      <c r="JI326" s="173"/>
      <c r="JJ326" s="173"/>
      <c r="JK326" s="173"/>
      <c r="JL326" s="173"/>
      <c r="JM326" s="173"/>
      <c r="JN326" s="173"/>
      <c r="JO326" s="173"/>
      <c r="JP326" s="173"/>
      <c r="JQ326" s="173"/>
      <c r="JR326" s="173"/>
      <c r="JS326" s="173"/>
      <c r="JT326" s="173"/>
      <c r="JU326" s="173"/>
      <c r="JV326" s="173"/>
      <c r="JW326" s="173"/>
      <c r="JX326" s="173"/>
      <c r="JY326" s="173"/>
      <c r="JZ326" s="173"/>
      <c r="KA326" s="173"/>
      <c r="KB326" s="173"/>
      <c r="KC326" s="173"/>
      <c r="KD326" s="173"/>
      <c r="KE326" s="173"/>
      <c r="KF326" s="173"/>
      <c r="KG326" s="173"/>
      <c r="KH326" s="173"/>
      <c r="KI326" s="173"/>
      <c r="KJ326" s="173"/>
      <c r="KK326" s="173"/>
      <c r="KL326" s="173"/>
      <c r="KM326" s="173"/>
      <c r="KN326" s="173"/>
      <c r="KO326" s="173"/>
      <c r="KP326" s="173"/>
      <c r="KQ326" s="173"/>
      <c r="KR326" s="173"/>
      <c r="KS326" s="173"/>
      <c r="KT326" s="173"/>
      <c r="KU326" s="173"/>
      <c r="KV326" s="173"/>
      <c r="KW326" s="173"/>
      <c r="KX326" s="173"/>
      <c r="KY326" s="173"/>
      <c r="KZ326" s="173"/>
      <c r="LA326" s="173"/>
      <c r="LB326" s="173"/>
      <c r="LC326" s="173"/>
      <c r="LD326" s="173"/>
      <c r="LE326" s="173"/>
      <c r="LF326" s="173"/>
      <c r="LG326" s="173"/>
      <c r="LH326" s="173"/>
      <c r="LI326" s="173"/>
      <c r="LJ326" s="173"/>
      <c r="LK326" s="173"/>
      <c r="LL326" s="173"/>
      <c r="LM326" s="173"/>
      <c r="LN326" s="173"/>
      <c r="LO326" s="173"/>
      <c r="LP326" s="173"/>
      <c r="LQ326" s="173"/>
      <c r="LR326" s="173"/>
      <c r="LS326" s="173"/>
      <c r="LT326" s="173"/>
      <c r="LU326" s="173"/>
      <c r="LV326" s="173"/>
      <c r="LW326" s="173"/>
      <c r="LX326" s="173"/>
      <c r="LY326" s="173"/>
      <c r="LZ326" s="173"/>
      <c r="MA326" s="173"/>
      <c r="MB326" s="173"/>
      <c r="MC326" s="173"/>
      <c r="MD326" s="173"/>
      <c r="ME326" s="173"/>
      <c r="MF326" s="173"/>
      <c r="MG326" s="173"/>
      <c r="MH326" s="173"/>
      <c r="MI326" s="173"/>
      <c r="MJ326" s="173"/>
      <c r="MK326" s="173"/>
      <c r="ML326" s="173"/>
      <c r="MM326" s="173"/>
      <c r="MN326" s="173"/>
      <c r="MO326" s="173"/>
      <c r="MP326" s="173"/>
      <c r="MQ326" s="173"/>
      <c r="MR326" s="173"/>
      <c r="MS326" s="173"/>
      <c r="MT326" s="173"/>
      <c r="MU326" s="173"/>
      <c r="MV326" s="173"/>
      <c r="MW326" s="173"/>
      <c r="MX326" s="173"/>
      <c r="MY326" s="173"/>
      <c r="MZ326" s="173"/>
      <c r="NA326" s="173"/>
      <c r="NB326" s="173"/>
      <c r="NC326" s="173"/>
      <c r="ND326" s="173"/>
      <c r="NE326" s="173"/>
      <c r="NF326" s="173"/>
      <c r="NG326" s="173"/>
      <c r="NH326" s="173"/>
      <c r="NI326" s="173"/>
      <c r="NJ326" s="173"/>
      <c r="NK326" s="173"/>
      <c r="NL326" s="173"/>
      <c r="NM326" s="173"/>
      <c r="NN326" s="173"/>
      <c r="NO326" s="173"/>
      <c r="NP326" s="173"/>
      <c r="NQ326" s="173"/>
      <c r="NR326" s="173"/>
      <c r="NS326" s="173"/>
      <c r="NT326" s="173"/>
      <c r="NU326" s="173"/>
      <c r="NV326" s="173"/>
      <c r="NW326" s="173"/>
      <c r="NX326" s="173"/>
      <c r="NY326" s="173"/>
      <c r="NZ326" s="173"/>
      <c r="OA326" s="173"/>
      <c r="OB326" s="173"/>
      <c r="OC326" s="173"/>
      <c r="OD326" s="173"/>
      <c r="OE326" s="173"/>
      <c r="OF326" s="173"/>
      <c r="OG326" s="173"/>
      <c r="OH326" s="173"/>
      <c r="OI326" s="173"/>
      <c r="OJ326" s="173"/>
      <c r="OK326" s="173"/>
      <c r="OL326" s="173"/>
      <c r="OM326" s="173"/>
      <c r="ON326" s="173"/>
      <c r="OO326" s="173"/>
      <c r="OP326" s="173"/>
      <c r="OQ326" s="173"/>
      <c r="OR326" s="173"/>
      <c r="OS326" s="173"/>
      <c r="OT326" s="173"/>
      <c r="OU326" s="173"/>
      <c r="OV326" s="173"/>
      <c r="OW326" s="173"/>
      <c r="OX326" s="173"/>
      <c r="OY326" s="173"/>
      <c r="OZ326" s="173"/>
      <c r="PA326" s="173"/>
      <c r="PB326" s="173"/>
      <c r="PC326" s="173"/>
      <c r="PD326" s="173"/>
      <c r="PE326" s="173"/>
      <c r="PF326" s="173"/>
      <c r="PG326" s="173"/>
      <c r="PH326" s="173"/>
      <c r="PI326" s="173"/>
      <c r="PJ326" s="173"/>
      <c r="PK326" s="173"/>
      <c r="PL326" s="173"/>
      <c r="PM326" s="173"/>
      <c r="PN326" s="173"/>
      <c r="PO326" s="173"/>
      <c r="PP326" s="173"/>
      <c r="PQ326" s="173"/>
      <c r="PR326" s="173"/>
      <c r="PS326" s="173"/>
      <c r="PT326" s="173"/>
      <c r="PU326" s="173"/>
      <c r="PV326" s="173"/>
      <c r="PW326" s="173"/>
      <c r="PX326" s="173"/>
      <c r="PY326" s="173"/>
      <c r="PZ326" s="173"/>
      <c r="QA326" s="173"/>
      <c r="QB326" s="173"/>
      <c r="QC326" s="173"/>
      <c r="QD326" s="173"/>
      <c r="QE326" s="173"/>
      <c r="QF326" s="173"/>
      <c r="QG326" s="173"/>
      <c r="QH326" s="173"/>
      <c r="QI326" s="173"/>
      <c r="QJ326" s="173"/>
      <c r="QK326" s="173"/>
      <c r="QL326" s="173"/>
      <c r="QM326" s="173"/>
      <c r="QN326" s="173"/>
      <c r="QO326" s="173"/>
      <c r="QP326" s="173"/>
      <c r="QQ326" s="173"/>
      <c r="QR326" s="173"/>
      <c r="QS326" s="173"/>
      <c r="QT326" s="173"/>
      <c r="QU326" s="173"/>
      <c r="QV326" s="173"/>
      <c r="QW326" s="173"/>
      <c r="QX326" s="173"/>
      <c r="QY326" s="173"/>
      <c r="QZ326" s="173"/>
      <c r="RA326" s="173"/>
      <c r="RB326" s="173"/>
      <c r="RC326" s="173"/>
      <c r="RD326" s="173"/>
      <c r="RE326" s="173"/>
      <c r="RF326" s="173"/>
      <c r="RG326" s="173"/>
      <c r="RH326" s="173"/>
      <c r="RI326" s="173"/>
      <c r="RJ326" s="173"/>
      <c r="RK326" s="173"/>
      <c r="RL326" s="173"/>
      <c r="RM326" s="173"/>
      <c r="RN326" s="173"/>
      <c r="RO326" s="173"/>
      <c r="RP326" s="173"/>
      <c r="RQ326" s="173"/>
      <c r="RR326" s="173"/>
      <c r="RS326" s="173"/>
      <c r="RT326" s="173"/>
      <c r="RU326" s="173"/>
      <c r="RV326" s="173"/>
      <c r="RW326" s="173"/>
      <c r="RX326" s="173"/>
      <c r="RY326" s="173"/>
      <c r="RZ326" s="173"/>
      <c r="SA326" s="173"/>
      <c r="SB326" s="173"/>
      <c r="SC326" s="173"/>
      <c r="SD326" s="173"/>
      <c r="SE326" s="173"/>
      <c r="SF326" s="173"/>
      <c r="SG326" s="173"/>
      <c r="SH326" s="173"/>
      <c r="SI326" s="173"/>
      <c r="SJ326" s="173"/>
      <c r="SK326" s="173"/>
      <c r="SL326" s="173"/>
      <c r="SM326" s="173"/>
      <c r="SN326" s="173"/>
      <c r="SO326" s="173"/>
      <c r="SP326" s="173"/>
      <c r="SQ326" s="173"/>
      <c r="SR326" s="173"/>
      <c r="SS326" s="173"/>
      <c r="ST326" s="173"/>
      <c r="SU326" s="173"/>
      <c r="SV326" s="173"/>
      <c r="SW326" s="173"/>
      <c r="SX326" s="173"/>
      <c r="SY326" s="173"/>
      <c r="SZ326" s="173"/>
      <c r="TA326" s="173"/>
      <c r="TB326" s="173"/>
      <c r="TC326" s="173"/>
      <c r="TD326" s="173"/>
      <c r="TE326" s="173"/>
      <c r="TF326" s="173"/>
      <c r="TG326" s="173"/>
      <c r="TH326" s="173"/>
      <c r="TI326" s="173"/>
      <c r="TJ326" s="173"/>
      <c r="TK326" s="173"/>
      <c r="TL326" s="173"/>
      <c r="TM326" s="173"/>
      <c r="TN326" s="173"/>
      <c r="TO326" s="173"/>
      <c r="TP326" s="173"/>
      <c r="TQ326" s="173"/>
      <c r="TR326" s="173"/>
      <c r="TS326" s="173"/>
      <c r="TT326" s="173"/>
      <c r="TU326" s="173"/>
      <c r="TV326" s="173"/>
      <c r="TW326" s="173"/>
      <c r="TX326" s="173"/>
      <c r="TY326" s="173"/>
      <c r="TZ326" s="173"/>
      <c r="UA326" s="173"/>
      <c r="UB326" s="173"/>
      <c r="UC326" s="173"/>
      <c r="UD326" s="173"/>
      <c r="UE326" s="173"/>
      <c r="UF326" s="173"/>
      <c r="UG326" s="173"/>
      <c r="UH326" s="173"/>
      <c r="UI326" s="173"/>
      <c r="UJ326" s="173"/>
      <c r="UK326" s="173"/>
      <c r="UL326" s="173"/>
      <c r="UM326" s="173"/>
      <c r="UN326" s="173"/>
      <c r="UO326" s="173"/>
      <c r="UP326" s="173"/>
      <c r="UQ326" s="173"/>
      <c r="UR326" s="173"/>
      <c r="US326" s="173"/>
      <c r="UT326" s="173"/>
      <c r="UU326" s="173"/>
      <c r="UV326" s="173"/>
      <c r="UW326" s="173"/>
      <c r="UX326" s="173"/>
      <c r="UY326" s="173"/>
      <c r="UZ326" s="173"/>
      <c r="VA326" s="173"/>
      <c r="VB326" s="173"/>
      <c r="VC326" s="173"/>
      <c r="VD326" s="173"/>
      <c r="VE326" s="173"/>
      <c r="VF326" s="173"/>
      <c r="VG326" s="173"/>
      <c r="VH326" s="173"/>
      <c r="VI326" s="173"/>
      <c r="VJ326" s="173"/>
      <c r="VK326" s="173"/>
      <c r="VL326" s="173"/>
      <c r="VM326" s="173"/>
      <c r="VN326" s="173"/>
      <c r="VO326" s="173"/>
      <c r="VP326" s="173"/>
      <c r="VQ326" s="173"/>
      <c r="VR326" s="173"/>
      <c r="VS326" s="173"/>
      <c r="VT326" s="173"/>
      <c r="VU326" s="173"/>
      <c r="VV326" s="173"/>
      <c r="VW326" s="173"/>
      <c r="VX326" s="173"/>
      <c r="VY326" s="173"/>
      <c r="VZ326" s="173"/>
      <c r="WA326" s="173"/>
      <c r="WB326" s="173"/>
      <c r="WC326" s="173"/>
      <c r="WD326" s="173"/>
      <c r="WE326" s="173"/>
      <c r="WF326" s="173"/>
      <c r="WG326" s="173"/>
      <c r="WH326" s="173"/>
      <c r="WI326" s="173"/>
      <c r="WJ326" s="173"/>
      <c r="WK326" s="173"/>
      <c r="WL326" s="173"/>
      <c r="WM326" s="173"/>
      <c r="WN326" s="173"/>
      <c r="WO326" s="173"/>
      <c r="WP326" s="173"/>
    </row>
    <row r="327" spans="1:614">
      <c r="A327" s="173"/>
      <c r="C327" s="173"/>
      <c r="D327" s="173"/>
      <c r="E327" s="173"/>
      <c r="F327" s="173"/>
      <c r="G327" s="173"/>
      <c r="H327" s="173"/>
      <c r="I327" s="173"/>
      <c r="J327" s="173"/>
      <c r="K327" s="173"/>
      <c r="L327" s="173"/>
      <c r="M327" s="173"/>
      <c r="N327" s="173"/>
      <c r="O327" s="173"/>
      <c r="P327" s="173"/>
      <c r="Q327" s="173"/>
      <c r="R327" s="173"/>
      <c r="S327" s="173"/>
      <c r="T327" s="173"/>
      <c r="U327" s="173"/>
      <c r="V327" s="173"/>
      <c r="W327" s="173"/>
      <c r="X327" s="173"/>
      <c r="Y327" s="173"/>
      <c r="Z327" s="173"/>
      <c r="AA327" s="173"/>
      <c r="AB327" s="173"/>
      <c r="AC327" s="173"/>
      <c r="AD327" s="173"/>
      <c r="AE327" s="173"/>
      <c r="AF327" s="173"/>
      <c r="AG327" s="173"/>
      <c r="AH327" s="173"/>
      <c r="AI327" s="173"/>
      <c r="AJ327" s="173"/>
      <c r="AK327" s="173"/>
      <c r="AL327" s="173"/>
      <c r="AM327" s="173"/>
      <c r="AN327" s="173"/>
      <c r="AO327" s="173"/>
      <c r="AP327" s="173"/>
      <c r="AQ327" s="173"/>
      <c r="AR327" s="173"/>
      <c r="AS327" s="173"/>
      <c r="AT327" s="173"/>
      <c r="AU327" s="173"/>
      <c r="AV327" s="173"/>
      <c r="AW327" s="173"/>
      <c r="AX327" s="173"/>
      <c r="AY327" s="173"/>
      <c r="AZ327" s="173"/>
      <c r="BA327" s="173"/>
      <c r="BB327" s="173"/>
      <c r="BC327" s="173"/>
      <c r="BD327" s="173"/>
      <c r="BE327" s="173"/>
      <c r="BF327" s="173"/>
      <c r="BG327" s="173"/>
      <c r="BH327" s="173"/>
      <c r="BI327" s="173"/>
      <c r="BJ327" s="173"/>
      <c r="BK327" s="173"/>
      <c r="BL327" s="173"/>
      <c r="BM327" s="173"/>
      <c r="BN327" s="173"/>
      <c r="BO327" s="173"/>
      <c r="BP327" s="173"/>
      <c r="BQ327" s="173"/>
      <c r="BR327" s="173"/>
      <c r="BS327" s="173"/>
      <c r="BT327" s="173"/>
      <c r="BU327" s="173"/>
      <c r="BV327" s="173"/>
      <c r="BW327" s="173"/>
      <c r="BX327" s="173"/>
      <c r="BY327" s="173"/>
      <c r="BZ327" s="173"/>
      <c r="CA327" s="173"/>
      <c r="CB327" s="173"/>
      <c r="CC327" s="173"/>
      <c r="CD327" s="173"/>
      <c r="CE327" s="173"/>
      <c r="CF327" s="173"/>
      <c r="CG327" s="173"/>
      <c r="CH327" s="173"/>
      <c r="CI327" s="173"/>
      <c r="CJ327" s="173"/>
      <c r="CK327" s="173"/>
      <c r="CL327" s="173"/>
      <c r="CM327" s="173"/>
      <c r="CN327" s="173"/>
      <c r="CO327" s="173"/>
      <c r="CP327" s="173"/>
      <c r="CQ327" s="173"/>
      <c r="CR327" s="173"/>
      <c r="CS327" s="173"/>
      <c r="CT327" s="173"/>
      <c r="CU327" s="173"/>
      <c r="CV327" s="173"/>
      <c r="CW327" s="173"/>
      <c r="CX327" s="173"/>
      <c r="CY327" s="173"/>
      <c r="CZ327" s="173"/>
      <c r="DA327" s="173"/>
      <c r="DB327" s="173"/>
      <c r="DC327" s="173"/>
      <c r="DD327" s="173"/>
      <c r="DE327" s="173"/>
      <c r="DF327" s="173"/>
      <c r="DG327" s="173"/>
      <c r="DH327" s="173"/>
      <c r="DI327" s="173"/>
      <c r="DJ327" s="173"/>
      <c r="DK327" s="173"/>
      <c r="DL327" s="173"/>
      <c r="DM327" s="173"/>
      <c r="DN327" s="173"/>
      <c r="DO327" s="173"/>
      <c r="DP327" s="173"/>
      <c r="DQ327" s="173"/>
      <c r="DR327" s="173"/>
      <c r="DS327" s="173"/>
      <c r="DT327" s="173"/>
      <c r="DU327" s="173"/>
      <c r="DV327" s="173"/>
      <c r="DW327" s="173"/>
      <c r="DX327" s="173"/>
      <c r="DY327" s="173"/>
      <c r="DZ327" s="173"/>
      <c r="EA327" s="173"/>
      <c r="EB327" s="173"/>
      <c r="EC327" s="173"/>
      <c r="ED327" s="173"/>
      <c r="EE327" s="173"/>
      <c r="EF327" s="173"/>
      <c r="EG327" s="173"/>
      <c r="EH327" s="173"/>
      <c r="EI327" s="173"/>
      <c r="EJ327" s="173"/>
      <c r="EK327" s="173"/>
      <c r="EL327" s="173"/>
      <c r="EM327" s="173"/>
      <c r="EN327" s="173"/>
      <c r="EO327" s="173"/>
      <c r="EP327" s="173"/>
      <c r="EQ327" s="173"/>
      <c r="ER327" s="173"/>
      <c r="ES327" s="173"/>
      <c r="ET327" s="173"/>
      <c r="EU327" s="173"/>
      <c r="EV327" s="173"/>
      <c r="EW327" s="173"/>
      <c r="EX327" s="173"/>
      <c r="EY327" s="173"/>
      <c r="EZ327" s="173"/>
      <c r="FA327" s="173"/>
      <c r="FB327" s="173"/>
      <c r="FC327" s="173"/>
      <c r="FD327" s="173"/>
      <c r="FE327" s="173"/>
      <c r="FF327" s="173"/>
      <c r="FG327" s="173"/>
      <c r="FH327" s="173"/>
      <c r="FI327" s="173"/>
      <c r="FJ327" s="173"/>
      <c r="FK327" s="173"/>
      <c r="FL327" s="173"/>
      <c r="FM327" s="173"/>
      <c r="FN327" s="173"/>
      <c r="FO327" s="173"/>
      <c r="FP327" s="173"/>
      <c r="FQ327" s="173"/>
      <c r="FR327" s="173"/>
      <c r="FS327" s="173"/>
      <c r="FT327" s="173"/>
      <c r="FU327" s="173"/>
      <c r="FV327" s="173"/>
      <c r="FW327" s="173"/>
      <c r="FX327" s="173"/>
      <c r="FY327" s="173"/>
      <c r="FZ327" s="173"/>
      <c r="GA327" s="173"/>
      <c r="GB327" s="173"/>
      <c r="GC327" s="173"/>
      <c r="GD327" s="173"/>
      <c r="GE327" s="173"/>
      <c r="GF327" s="173"/>
      <c r="GG327" s="173"/>
      <c r="GH327" s="173"/>
      <c r="GI327" s="173"/>
      <c r="GJ327" s="173"/>
      <c r="GK327" s="173"/>
      <c r="GL327" s="173"/>
      <c r="GM327" s="173"/>
      <c r="GN327" s="173"/>
      <c r="GO327" s="173"/>
      <c r="GP327" s="173"/>
      <c r="GQ327" s="173"/>
      <c r="GR327" s="173"/>
      <c r="GS327" s="173"/>
      <c r="GT327" s="173"/>
      <c r="GU327" s="173"/>
      <c r="GV327" s="173"/>
      <c r="GW327" s="173"/>
      <c r="GX327" s="173"/>
      <c r="GY327" s="173"/>
      <c r="GZ327" s="173"/>
      <c r="HA327" s="173"/>
      <c r="HB327" s="173"/>
      <c r="HC327" s="173"/>
      <c r="HD327" s="173"/>
      <c r="HE327" s="173"/>
      <c r="HF327" s="173"/>
      <c r="HG327" s="173"/>
      <c r="HH327" s="173"/>
      <c r="HI327" s="173"/>
      <c r="HJ327" s="173"/>
      <c r="HK327" s="173"/>
      <c r="HL327" s="173"/>
      <c r="HM327" s="173"/>
      <c r="HN327" s="173"/>
      <c r="HO327" s="173"/>
      <c r="HP327" s="173"/>
      <c r="HQ327" s="173"/>
      <c r="HR327" s="173"/>
      <c r="HS327" s="173"/>
      <c r="HT327" s="173"/>
      <c r="HU327" s="173"/>
      <c r="HV327" s="173"/>
      <c r="HW327" s="173"/>
      <c r="HX327" s="173"/>
      <c r="HY327" s="173"/>
      <c r="HZ327" s="173"/>
      <c r="IA327" s="173"/>
      <c r="IB327" s="173"/>
      <c r="IC327" s="173"/>
      <c r="ID327" s="173"/>
      <c r="IE327" s="173"/>
      <c r="IF327" s="173"/>
      <c r="IG327" s="173"/>
      <c r="IH327" s="173"/>
      <c r="II327" s="173"/>
      <c r="IJ327" s="173"/>
      <c r="IK327" s="173"/>
      <c r="IL327" s="173"/>
      <c r="IM327" s="173"/>
      <c r="IN327" s="173"/>
      <c r="IO327" s="173"/>
      <c r="IP327" s="173"/>
      <c r="IQ327" s="173"/>
      <c r="IR327" s="173"/>
      <c r="IS327" s="173"/>
      <c r="IT327" s="173"/>
      <c r="IU327" s="173"/>
      <c r="IV327" s="173"/>
      <c r="IW327" s="173"/>
      <c r="IX327" s="173"/>
      <c r="IY327" s="173"/>
      <c r="IZ327" s="173"/>
      <c r="JA327" s="173"/>
      <c r="JB327" s="173"/>
      <c r="JC327" s="173"/>
      <c r="JD327" s="173"/>
      <c r="JE327" s="173"/>
      <c r="JF327" s="173"/>
      <c r="JG327" s="173"/>
      <c r="JH327" s="173"/>
      <c r="JI327" s="173"/>
      <c r="JJ327" s="173"/>
      <c r="JK327" s="173"/>
      <c r="JL327" s="173"/>
      <c r="JM327" s="173"/>
      <c r="JN327" s="173"/>
      <c r="JO327" s="173"/>
      <c r="JP327" s="173"/>
      <c r="JQ327" s="173"/>
      <c r="JR327" s="173"/>
      <c r="JS327" s="173"/>
      <c r="JT327" s="173"/>
      <c r="JU327" s="173"/>
      <c r="JV327" s="173"/>
      <c r="JW327" s="173"/>
      <c r="JX327" s="173"/>
      <c r="JY327" s="173"/>
      <c r="JZ327" s="173"/>
      <c r="KA327" s="173"/>
      <c r="KB327" s="173"/>
      <c r="KC327" s="173"/>
      <c r="KD327" s="173"/>
      <c r="KE327" s="173"/>
      <c r="KF327" s="173"/>
      <c r="KG327" s="173"/>
      <c r="KH327" s="173"/>
      <c r="KI327" s="173"/>
      <c r="KJ327" s="173"/>
      <c r="KK327" s="173"/>
      <c r="KL327" s="173"/>
      <c r="KM327" s="173"/>
      <c r="KN327" s="173"/>
      <c r="KO327" s="173"/>
      <c r="KP327" s="173"/>
      <c r="KQ327" s="173"/>
      <c r="KR327" s="173"/>
      <c r="KS327" s="173"/>
      <c r="KT327" s="173"/>
      <c r="KU327" s="173"/>
      <c r="KV327" s="173"/>
      <c r="KW327" s="173"/>
      <c r="KX327" s="173"/>
      <c r="KY327" s="173"/>
      <c r="KZ327" s="173"/>
      <c r="LA327" s="173"/>
      <c r="LB327" s="173"/>
      <c r="LC327" s="173"/>
      <c r="LD327" s="173"/>
      <c r="LE327" s="173"/>
      <c r="LF327" s="173"/>
      <c r="LG327" s="173"/>
      <c r="LH327" s="173"/>
      <c r="LI327" s="173"/>
      <c r="LJ327" s="173"/>
      <c r="LK327" s="173"/>
      <c r="LL327" s="173"/>
      <c r="LM327" s="173"/>
      <c r="LN327" s="173"/>
      <c r="LO327" s="173"/>
      <c r="LP327" s="173"/>
      <c r="LQ327" s="173"/>
      <c r="LR327" s="173"/>
      <c r="LS327" s="173"/>
      <c r="LT327" s="173"/>
      <c r="LU327" s="173"/>
      <c r="LV327" s="173"/>
      <c r="LW327" s="173"/>
      <c r="LX327" s="173"/>
      <c r="LY327" s="173"/>
      <c r="LZ327" s="173"/>
      <c r="MA327" s="173"/>
      <c r="MB327" s="173"/>
      <c r="MC327" s="173"/>
      <c r="MD327" s="173"/>
      <c r="ME327" s="173"/>
      <c r="MF327" s="173"/>
      <c r="MG327" s="173"/>
      <c r="MH327" s="173"/>
      <c r="MI327" s="173"/>
      <c r="MJ327" s="173"/>
      <c r="MK327" s="173"/>
      <c r="ML327" s="173"/>
      <c r="MM327" s="173"/>
      <c r="MN327" s="173"/>
      <c r="MO327" s="173"/>
      <c r="MP327" s="173"/>
      <c r="MQ327" s="173"/>
      <c r="MR327" s="173"/>
      <c r="MS327" s="173"/>
      <c r="MT327" s="173"/>
      <c r="MU327" s="173"/>
      <c r="MV327" s="173"/>
      <c r="MW327" s="173"/>
      <c r="MX327" s="173"/>
      <c r="MY327" s="173"/>
      <c r="MZ327" s="173"/>
      <c r="NA327" s="173"/>
      <c r="NB327" s="173"/>
      <c r="NC327" s="173"/>
      <c r="ND327" s="173"/>
      <c r="NE327" s="173"/>
      <c r="NF327" s="173"/>
      <c r="NG327" s="173"/>
      <c r="NH327" s="173"/>
      <c r="NI327" s="173"/>
      <c r="NJ327" s="173"/>
      <c r="NK327" s="173"/>
      <c r="NL327" s="173"/>
      <c r="NM327" s="173"/>
      <c r="NN327" s="173"/>
      <c r="NO327" s="173"/>
      <c r="NP327" s="173"/>
      <c r="NQ327" s="173"/>
      <c r="NR327" s="173"/>
      <c r="NS327" s="173"/>
      <c r="NT327" s="173"/>
      <c r="NU327" s="173"/>
      <c r="NV327" s="173"/>
      <c r="NW327" s="173"/>
      <c r="NX327" s="173"/>
      <c r="NY327" s="173"/>
      <c r="NZ327" s="173"/>
      <c r="OA327" s="173"/>
      <c r="OB327" s="173"/>
      <c r="OC327" s="173"/>
      <c r="OD327" s="173"/>
      <c r="OE327" s="173"/>
      <c r="OF327" s="173"/>
      <c r="OG327" s="173"/>
      <c r="OH327" s="173"/>
      <c r="OI327" s="173"/>
      <c r="OJ327" s="173"/>
      <c r="OK327" s="173"/>
      <c r="OL327" s="173"/>
      <c r="OM327" s="173"/>
      <c r="ON327" s="173"/>
      <c r="OO327" s="173"/>
      <c r="OP327" s="173"/>
      <c r="OQ327" s="173"/>
      <c r="OR327" s="173"/>
      <c r="OS327" s="173"/>
      <c r="OT327" s="173"/>
      <c r="OU327" s="173"/>
      <c r="OV327" s="173"/>
      <c r="OW327" s="173"/>
      <c r="OX327" s="173"/>
      <c r="OY327" s="173"/>
      <c r="OZ327" s="173"/>
      <c r="PA327" s="173"/>
      <c r="PB327" s="173"/>
      <c r="PC327" s="173"/>
      <c r="PD327" s="173"/>
      <c r="PE327" s="173"/>
      <c r="PF327" s="173"/>
      <c r="PG327" s="173"/>
      <c r="PH327" s="173"/>
      <c r="PI327" s="173"/>
      <c r="PJ327" s="173"/>
      <c r="PK327" s="173"/>
      <c r="PL327" s="173"/>
      <c r="PM327" s="173"/>
      <c r="PN327" s="173"/>
      <c r="PO327" s="173"/>
      <c r="PP327" s="173"/>
      <c r="PQ327" s="173"/>
      <c r="PR327" s="173"/>
      <c r="PS327" s="173"/>
      <c r="PT327" s="173"/>
      <c r="PU327" s="173"/>
      <c r="PV327" s="173"/>
      <c r="PW327" s="173"/>
      <c r="PX327" s="173"/>
      <c r="PY327" s="173"/>
      <c r="PZ327" s="173"/>
      <c r="QA327" s="173"/>
      <c r="QB327" s="173"/>
      <c r="QC327" s="173"/>
      <c r="QD327" s="173"/>
      <c r="QE327" s="173"/>
      <c r="QF327" s="173"/>
      <c r="QG327" s="173"/>
      <c r="QH327" s="173"/>
      <c r="QI327" s="173"/>
      <c r="QJ327" s="173"/>
      <c r="QK327" s="173"/>
      <c r="QL327" s="173"/>
      <c r="QM327" s="173"/>
      <c r="QN327" s="173"/>
      <c r="QO327" s="173"/>
      <c r="QP327" s="173"/>
      <c r="QQ327" s="173"/>
      <c r="QR327" s="173"/>
      <c r="QS327" s="173"/>
      <c r="QT327" s="173"/>
      <c r="QU327" s="173"/>
      <c r="QV327" s="173"/>
      <c r="QW327" s="173"/>
      <c r="QX327" s="173"/>
      <c r="QY327" s="173"/>
      <c r="QZ327" s="173"/>
      <c r="RA327" s="173"/>
      <c r="RB327" s="173"/>
      <c r="RC327" s="173"/>
      <c r="RD327" s="173"/>
      <c r="RE327" s="173"/>
      <c r="RF327" s="173"/>
      <c r="RG327" s="173"/>
      <c r="RH327" s="173"/>
      <c r="RI327" s="173"/>
      <c r="RJ327" s="173"/>
      <c r="RK327" s="173"/>
      <c r="RL327" s="173"/>
      <c r="RM327" s="173"/>
      <c r="RN327" s="173"/>
      <c r="RO327" s="173"/>
      <c r="RP327" s="173"/>
      <c r="RQ327" s="173"/>
      <c r="RR327" s="173"/>
      <c r="RS327" s="173"/>
      <c r="RT327" s="173"/>
      <c r="RU327" s="173"/>
      <c r="RV327" s="173"/>
      <c r="RW327" s="173"/>
      <c r="RX327" s="173"/>
      <c r="RY327" s="173"/>
      <c r="RZ327" s="173"/>
      <c r="SA327" s="173"/>
      <c r="SB327" s="173"/>
      <c r="SC327" s="173"/>
      <c r="SD327" s="173"/>
      <c r="SE327" s="173"/>
      <c r="SF327" s="173"/>
      <c r="SG327" s="173"/>
      <c r="SH327" s="173"/>
      <c r="SI327" s="173"/>
      <c r="SJ327" s="173"/>
      <c r="SK327" s="173"/>
      <c r="SL327" s="173"/>
      <c r="SM327" s="173"/>
      <c r="SN327" s="173"/>
      <c r="SO327" s="173"/>
      <c r="SP327" s="173"/>
      <c r="SQ327" s="173"/>
      <c r="SR327" s="173"/>
      <c r="SS327" s="173"/>
      <c r="ST327" s="173"/>
      <c r="SU327" s="173"/>
      <c r="SV327" s="173"/>
      <c r="SW327" s="173"/>
      <c r="SX327" s="173"/>
      <c r="SY327" s="173"/>
      <c r="SZ327" s="173"/>
      <c r="TA327" s="173"/>
      <c r="TB327" s="173"/>
      <c r="TC327" s="173"/>
      <c r="TD327" s="173"/>
      <c r="TE327" s="173"/>
      <c r="TF327" s="173"/>
      <c r="TG327" s="173"/>
      <c r="TH327" s="173"/>
      <c r="TI327" s="173"/>
      <c r="TJ327" s="173"/>
      <c r="TK327" s="173"/>
      <c r="TL327" s="173"/>
      <c r="TM327" s="173"/>
      <c r="TN327" s="173"/>
      <c r="TO327" s="173"/>
      <c r="TP327" s="173"/>
      <c r="TQ327" s="173"/>
      <c r="TR327" s="173"/>
      <c r="TS327" s="173"/>
      <c r="TT327" s="173"/>
      <c r="TU327" s="173"/>
      <c r="TV327" s="173"/>
      <c r="TW327" s="173"/>
      <c r="TX327" s="173"/>
      <c r="TY327" s="173"/>
      <c r="TZ327" s="173"/>
      <c r="UA327" s="173"/>
      <c r="UB327" s="173"/>
      <c r="UC327" s="173"/>
      <c r="UD327" s="173"/>
      <c r="UE327" s="173"/>
      <c r="UF327" s="173"/>
      <c r="UG327" s="173"/>
      <c r="UH327" s="173"/>
      <c r="UI327" s="173"/>
      <c r="UJ327" s="173"/>
      <c r="UK327" s="173"/>
      <c r="UL327" s="173"/>
      <c r="UM327" s="173"/>
      <c r="UN327" s="173"/>
      <c r="UO327" s="173"/>
      <c r="UP327" s="173"/>
      <c r="UQ327" s="173"/>
      <c r="UR327" s="173"/>
      <c r="US327" s="173"/>
      <c r="UT327" s="173"/>
      <c r="UU327" s="173"/>
      <c r="UV327" s="173"/>
      <c r="UW327" s="173"/>
      <c r="UX327" s="173"/>
      <c r="UY327" s="173"/>
      <c r="UZ327" s="173"/>
      <c r="VA327" s="173"/>
      <c r="VB327" s="173"/>
      <c r="VC327" s="173"/>
      <c r="VD327" s="173"/>
      <c r="VE327" s="173"/>
      <c r="VF327" s="173"/>
      <c r="VG327" s="173"/>
      <c r="VH327" s="173"/>
      <c r="VI327" s="173"/>
      <c r="VJ327" s="173"/>
      <c r="VK327" s="173"/>
      <c r="VL327" s="173"/>
      <c r="VM327" s="173"/>
      <c r="VN327" s="173"/>
      <c r="VO327" s="173"/>
      <c r="VP327" s="173"/>
      <c r="VQ327" s="173"/>
      <c r="VR327" s="173"/>
      <c r="VS327" s="173"/>
      <c r="VT327" s="173"/>
      <c r="VU327" s="173"/>
      <c r="VV327" s="173"/>
      <c r="VW327" s="173"/>
      <c r="VX327" s="173"/>
      <c r="VY327" s="173"/>
      <c r="VZ327" s="173"/>
      <c r="WA327" s="173"/>
      <c r="WB327" s="173"/>
      <c r="WC327" s="173"/>
      <c r="WD327" s="173"/>
      <c r="WE327" s="173"/>
      <c r="WF327" s="173"/>
      <c r="WG327" s="173"/>
      <c r="WH327" s="173"/>
      <c r="WI327" s="173"/>
      <c r="WJ327" s="173"/>
      <c r="WK327" s="173"/>
      <c r="WL327" s="173"/>
      <c r="WM327" s="173"/>
      <c r="WN327" s="173"/>
      <c r="WO327" s="173"/>
      <c r="WP327" s="173"/>
    </row>
    <row r="328" spans="1:614">
      <c r="A328" s="173"/>
      <c r="C328" s="173"/>
      <c r="D328" s="173"/>
      <c r="E328" s="173"/>
      <c r="F328" s="173"/>
      <c r="G328" s="173"/>
      <c r="H328" s="173"/>
      <c r="I328" s="173"/>
      <c r="J328" s="173"/>
      <c r="K328" s="173"/>
      <c r="L328" s="173"/>
      <c r="M328" s="173"/>
      <c r="N328" s="173"/>
      <c r="O328" s="173"/>
      <c r="P328" s="173"/>
      <c r="Q328" s="173"/>
      <c r="R328" s="173"/>
      <c r="S328" s="173"/>
      <c r="T328" s="173"/>
      <c r="U328" s="173"/>
      <c r="V328" s="173"/>
      <c r="W328" s="173"/>
      <c r="X328" s="173"/>
      <c r="Y328" s="173"/>
      <c r="Z328" s="173"/>
      <c r="AA328" s="173"/>
      <c r="AB328" s="173"/>
      <c r="AC328" s="173"/>
      <c r="AD328" s="173"/>
      <c r="AE328" s="173"/>
      <c r="AF328" s="173"/>
      <c r="AG328" s="173"/>
      <c r="AH328" s="173"/>
      <c r="AI328" s="173"/>
      <c r="AJ328" s="173"/>
      <c r="AK328" s="173"/>
      <c r="AL328" s="173"/>
      <c r="AM328" s="173"/>
      <c r="AN328" s="173"/>
      <c r="AO328" s="173"/>
      <c r="AP328" s="173"/>
      <c r="AQ328" s="173"/>
      <c r="AR328" s="173"/>
      <c r="AS328" s="173"/>
      <c r="AT328" s="173"/>
      <c r="AU328" s="173"/>
      <c r="AV328" s="173"/>
      <c r="AW328" s="173"/>
      <c r="AX328" s="173"/>
      <c r="AY328" s="173"/>
      <c r="AZ328" s="173"/>
      <c r="BA328" s="173"/>
      <c r="BB328" s="173"/>
      <c r="BC328" s="173"/>
      <c r="BD328" s="173"/>
      <c r="BE328" s="173"/>
      <c r="BF328" s="173"/>
      <c r="BG328" s="173"/>
      <c r="BH328" s="173"/>
      <c r="BI328" s="173"/>
      <c r="BJ328" s="173"/>
      <c r="BK328" s="173"/>
      <c r="BL328" s="173"/>
      <c r="BM328" s="173"/>
      <c r="BN328" s="173"/>
      <c r="BO328" s="173"/>
      <c r="BP328" s="173"/>
      <c r="BQ328" s="173"/>
      <c r="BR328" s="173"/>
      <c r="BS328" s="173"/>
      <c r="BT328" s="173"/>
      <c r="BU328" s="173"/>
      <c r="BV328" s="173"/>
      <c r="BW328" s="173"/>
      <c r="BX328" s="173"/>
      <c r="BY328" s="173"/>
      <c r="BZ328" s="173"/>
      <c r="CA328" s="173"/>
      <c r="CB328" s="173"/>
      <c r="CC328" s="173"/>
      <c r="CD328" s="173"/>
      <c r="CE328" s="173"/>
      <c r="CF328" s="173"/>
      <c r="CG328" s="173"/>
      <c r="CH328" s="173"/>
      <c r="CI328" s="173"/>
      <c r="CJ328" s="173"/>
      <c r="CK328" s="173"/>
      <c r="CL328" s="173"/>
      <c r="CM328" s="173"/>
      <c r="CN328" s="173"/>
      <c r="CO328" s="173"/>
      <c r="CP328" s="173"/>
      <c r="CQ328" s="173"/>
      <c r="CR328" s="173"/>
      <c r="CS328" s="173"/>
      <c r="CT328" s="173"/>
      <c r="CU328" s="173"/>
      <c r="CV328" s="173"/>
      <c r="CW328" s="173"/>
      <c r="CX328" s="173"/>
      <c r="CY328" s="173"/>
      <c r="CZ328" s="173"/>
      <c r="DA328" s="173"/>
      <c r="DB328" s="173"/>
      <c r="DC328" s="173"/>
      <c r="DD328" s="173"/>
      <c r="DE328" s="173"/>
      <c r="DF328" s="173"/>
      <c r="DG328" s="173"/>
      <c r="DH328" s="173"/>
      <c r="DI328" s="173"/>
      <c r="DJ328" s="173"/>
      <c r="DK328" s="173"/>
      <c r="DL328" s="173"/>
      <c r="DM328" s="173"/>
      <c r="DN328" s="173"/>
      <c r="DO328" s="173"/>
      <c r="DP328" s="173"/>
      <c r="DQ328" s="173"/>
      <c r="DR328" s="173"/>
      <c r="DS328" s="173"/>
      <c r="DT328" s="173"/>
      <c r="DU328" s="173"/>
      <c r="DV328" s="173"/>
      <c r="DW328" s="173"/>
      <c r="DX328" s="173"/>
      <c r="DY328" s="173"/>
      <c r="DZ328" s="173"/>
      <c r="EA328" s="173"/>
      <c r="EB328" s="173"/>
      <c r="EC328" s="173"/>
      <c r="ED328" s="173"/>
      <c r="EE328" s="173"/>
      <c r="EF328" s="173"/>
      <c r="EG328" s="173"/>
      <c r="EH328" s="173"/>
      <c r="EI328" s="173"/>
      <c r="EJ328" s="173"/>
      <c r="EK328" s="173"/>
      <c r="EL328" s="173"/>
      <c r="EM328" s="173"/>
      <c r="EN328" s="173"/>
      <c r="EO328" s="173"/>
      <c r="EP328" s="173"/>
      <c r="EQ328" s="173"/>
      <c r="ER328" s="173"/>
      <c r="ES328" s="173"/>
      <c r="ET328" s="173"/>
      <c r="EU328" s="173"/>
      <c r="EV328" s="173"/>
      <c r="EW328" s="173"/>
      <c r="EX328" s="173"/>
      <c r="EY328" s="173"/>
      <c r="EZ328" s="173"/>
      <c r="FA328" s="173"/>
      <c r="FB328" s="173"/>
      <c r="FC328" s="173"/>
      <c r="FD328" s="173"/>
      <c r="FE328" s="173"/>
      <c r="FF328" s="173"/>
      <c r="FG328" s="173"/>
      <c r="FH328" s="173"/>
      <c r="FI328" s="173"/>
      <c r="FJ328" s="173"/>
      <c r="FK328" s="173"/>
      <c r="FL328" s="173"/>
      <c r="FM328" s="173"/>
      <c r="FN328" s="173"/>
      <c r="FO328" s="173"/>
      <c r="FP328" s="173"/>
      <c r="FQ328" s="173"/>
      <c r="FR328" s="173"/>
      <c r="FS328" s="173"/>
      <c r="FT328" s="173"/>
      <c r="FU328" s="173"/>
      <c r="FV328" s="173"/>
      <c r="FW328" s="173"/>
      <c r="FX328" s="173"/>
      <c r="FY328" s="173"/>
      <c r="FZ328" s="173"/>
      <c r="GA328" s="173"/>
      <c r="GB328" s="173"/>
      <c r="GC328" s="173"/>
      <c r="GD328" s="173"/>
      <c r="GE328" s="173"/>
      <c r="GF328" s="173"/>
      <c r="GG328" s="173"/>
      <c r="GH328" s="173"/>
      <c r="GI328" s="173"/>
      <c r="GJ328" s="173"/>
      <c r="GK328" s="173"/>
      <c r="GL328" s="173"/>
      <c r="GM328" s="173"/>
      <c r="GN328" s="173"/>
      <c r="GO328" s="173"/>
      <c r="GP328" s="173"/>
      <c r="GQ328" s="173"/>
      <c r="GR328" s="173"/>
      <c r="GS328" s="173"/>
      <c r="GT328" s="173"/>
      <c r="GU328" s="173"/>
      <c r="GV328" s="173"/>
      <c r="GW328" s="173"/>
      <c r="GX328" s="173"/>
      <c r="GY328" s="173"/>
      <c r="GZ328" s="173"/>
      <c r="HA328" s="173"/>
      <c r="HB328" s="173"/>
      <c r="HC328" s="173"/>
      <c r="HD328" s="173"/>
      <c r="HE328" s="173"/>
      <c r="HF328" s="173"/>
      <c r="HG328" s="173"/>
      <c r="HH328" s="173"/>
      <c r="HI328" s="173"/>
      <c r="HJ328" s="173"/>
      <c r="HK328" s="173"/>
      <c r="HL328" s="173"/>
      <c r="HM328" s="173"/>
      <c r="HN328" s="173"/>
      <c r="HO328" s="173"/>
      <c r="HP328" s="173"/>
      <c r="HQ328" s="173"/>
      <c r="HR328" s="173"/>
      <c r="HS328" s="173"/>
      <c r="HT328" s="173"/>
      <c r="HU328" s="173"/>
      <c r="HV328" s="173"/>
      <c r="HW328" s="173"/>
      <c r="HX328" s="173"/>
      <c r="HY328" s="173"/>
      <c r="HZ328" s="173"/>
      <c r="IA328" s="173"/>
      <c r="IB328" s="173"/>
      <c r="IC328" s="173"/>
      <c r="ID328" s="173"/>
      <c r="IE328" s="173"/>
      <c r="IF328" s="173"/>
      <c r="IG328" s="173"/>
      <c r="IH328" s="173"/>
      <c r="II328" s="173"/>
      <c r="IJ328" s="173"/>
      <c r="IK328" s="173"/>
      <c r="IL328" s="173"/>
      <c r="IM328" s="173"/>
      <c r="IN328" s="173"/>
      <c r="IO328" s="173"/>
      <c r="IP328" s="173"/>
      <c r="IQ328" s="173"/>
      <c r="IR328" s="173"/>
      <c r="IS328" s="173"/>
      <c r="IT328" s="173"/>
      <c r="IU328" s="173"/>
      <c r="IV328" s="173"/>
      <c r="IW328" s="173"/>
      <c r="IX328" s="173"/>
      <c r="IY328" s="173"/>
      <c r="IZ328" s="173"/>
      <c r="JA328" s="173"/>
      <c r="JB328" s="173"/>
      <c r="JC328" s="173"/>
      <c r="JD328" s="173"/>
      <c r="JE328" s="173"/>
      <c r="JF328" s="173"/>
      <c r="JG328" s="173"/>
      <c r="JH328" s="173"/>
      <c r="JI328" s="173"/>
      <c r="JJ328" s="173"/>
      <c r="JK328" s="173"/>
      <c r="JL328" s="173"/>
      <c r="JM328" s="173"/>
      <c r="JN328" s="173"/>
      <c r="JO328" s="173"/>
      <c r="JP328" s="173"/>
      <c r="JQ328" s="173"/>
      <c r="JR328" s="173"/>
      <c r="JS328" s="173"/>
      <c r="JT328" s="173"/>
      <c r="JU328" s="173"/>
      <c r="JV328" s="173"/>
      <c r="JW328" s="173"/>
      <c r="JX328" s="173"/>
      <c r="JY328" s="173"/>
      <c r="JZ328" s="173"/>
      <c r="KA328" s="173"/>
      <c r="KB328" s="173"/>
      <c r="KC328" s="173"/>
      <c r="KD328" s="173"/>
      <c r="KE328" s="173"/>
      <c r="KF328" s="173"/>
      <c r="KG328" s="173"/>
      <c r="KH328" s="173"/>
      <c r="KI328" s="173"/>
      <c r="KJ328" s="173"/>
      <c r="KK328" s="173"/>
      <c r="KL328" s="173"/>
      <c r="KM328" s="173"/>
      <c r="KN328" s="173"/>
      <c r="KO328" s="173"/>
      <c r="KP328" s="173"/>
      <c r="KQ328" s="173"/>
      <c r="KR328" s="173"/>
      <c r="KS328" s="173"/>
      <c r="KT328" s="173"/>
      <c r="KU328" s="173"/>
      <c r="KV328" s="173"/>
      <c r="KW328" s="173"/>
      <c r="KX328" s="173"/>
      <c r="KY328" s="173"/>
      <c r="KZ328" s="173"/>
      <c r="LA328" s="173"/>
      <c r="LB328" s="173"/>
      <c r="LC328" s="173"/>
      <c r="LD328" s="173"/>
      <c r="LE328" s="173"/>
      <c r="LF328" s="173"/>
      <c r="LG328" s="173"/>
      <c r="LH328" s="173"/>
      <c r="LI328" s="173"/>
      <c r="LJ328" s="173"/>
      <c r="LK328" s="173"/>
      <c r="LL328" s="173"/>
      <c r="LM328" s="173"/>
      <c r="LN328" s="173"/>
      <c r="LO328" s="173"/>
      <c r="LP328" s="173"/>
      <c r="LQ328" s="173"/>
      <c r="LR328" s="173"/>
      <c r="LS328" s="173"/>
      <c r="LT328" s="173"/>
      <c r="LU328" s="173"/>
      <c r="LV328" s="173"/>
      <c r="LW328" s="173"/>
      <c r="LX328" s="173"/>
      <c r="LY328" s="173"/>
      <c r="LZ328" s="173"/>
      <c r="MA328" s="173"/>
      <c r="MB328" s="173"/>
      <c r="MC328" s="173"/>
      <c r="MD328" s="173"/>
      <c r="ME328" s="173"/>
      <c r="MF328" s="173"/>
      <c r="MG328" s="173"/>
      <c r="MH328" s="173"/>
      <c r="MI328" s="173"/>
      <c r="MJ328" s="173"/>
      <c r="MK328" s="173"/>
      <c r="ML328" s="173"/>
      <c r="MM328" s="173"/>
      <c r="MN328" s="173"/>
      <c r="MO328" s="173"/>
      <c r="MP328" s="173"/>
      <c r="MQ328" s="173"/>
      <c r="MR328" s="173"/>
      <c r="MS328" s="173"/>
      <c r="MT328" s="173"/>
      <c r="MU328" s="173"/>
      <c r="MV328" s="173"/>
      <c r="MW328" s="173"/>
      <c r="MX328" s="173"/>
      <c r="MY328" s="173"/>
      <c r="MZ328" s="173"/>
      <c r="NA328" s="173"/>
      <c r="NB328" s="173"/>
      <c r="NC328" s="173"/>
      <c r="ND328" s="173"/>
      <c r="NE328" s="173"/>
      <c r="NF328" s="173"/>
      <c r="NG328" s="173"/>
      <c r="NH328" s="173"/>
      <c r="NI328" s="173"/>
      <c r="NJ328" s="173"/>
      <c r="NK328" s="173"/>
      <c r="NL328" s="173"/>
      <c r="NM328" s="173"/>
      <c r="NN328" s="173"/>
      <c r="NO328" s="173"/>
      <c r="NP328" s="173"/>
      <c r="NQ328" s="173"/>
      <c r="NR328" s="173"/>
      <c r="NS328" s="173"/>
      <c r="NT328" s="173"/>
      <c r="NU328" s="173"/>
      <c r="NV328" s="173"/>
      <c r="NW328" s="173"/>
      <c r="NX328" s="173"/>
      <c r="NY328" s="173"/>
      <c r="NZ328" s="173"/>
      <c r="OA328" s="173"/>
      <c r="OB328" s="173"/>
      <c r="OC328" s="173"/>
      <c r="OD328" s="173"/>
      <c r="OE328" s="173"/>
      <c r="OF328" s="173"/>
      <c r="OG328" s="173"/>
      <c r="OH328" s="173"/>
      <c r="OI328" s="173"/>
      <c r="OJ328" s="173"/>
      <c r="OK328" s="173"/>
      <c r="OL328" s="173"/>
      <c r="OM328" s="173"/>
      <c r="ON328" s="173"/>
      <c r="OO328" s="173"/>
      <c r="OP328" s="173"/>
      <c r="OQ328" s="173"/>
      <c r="OR328" s="173"/>
      <c r="OS328" s="173"/>
      <c r="OT328" s="173"/>
      <c r="OU328" s="173"/>
      <c r="OV328" s="173"/>
      <c r="OW328" s="173"/>
      <c r="OX328" s="173"/>
      <c r="OY328" s="173"/>
      <c r="OZ328" s="173"/>
      <c r="PA328" s="173"/>
      <c r="PB328" s="173"/>
      <c r="PC328" s="173"/>
      <c r="PD328" s="173"/>
      <c r="PE328" s="173"/>
      <c r="PF328" s="173"/>
      <c r="PG328" s="173"/>
      <c r="PH328" s="173"/>
      <c r="PI328" s="173"/>
      <c r="PJ328" s="173"/>
      <c r="PK328" s="173"/>
      <c r="PL328" s="173"/>
      <c r="PM328" s="173"/>
      <c r="PN328" s="173"/>
      <c r="PO328" s="173"/>
      <c r="PP328" s="173"/>
      <c r="PQ328" s="173"/>
      <c r="PR328" s="173"/>
      <c r="PS328" s="173"/>
      <c r="PT328" s="173"/>
      <c r="PU328" s="173"/>
      <c r="PV328" s="173"/>
      <c r="PW328" s="173"/>
      <c r="PX328" s="173"/>
      <c r="PY328" s="173"/>
      <c r="PZ328" s="173"/>
      <c r="QA328" s="173"/>
      <c r="QB328" s="173"/>
      <c r="QC328" s="173"/>
      <c r="QD328" s="173"/>
      <c r="QE328" s="173"/>
      <c r="QF328" s="173"/>
      <c r="QG328" s="173"/>
      <c r="QH328" s="173"/>
      <c r="QI328" s="173"/>
      <c r="QJ328" s="173"/>
      <c r="QK328" s="173"/>
      <c r="QL328" s="173"/>
      <c r="QM328" s="173"/>
      <c r="QN328" s="173"/>
      <c r="QO328" s="173"/>
      <c r="QP328" s="173"/>
      <c r="QQ328" s="173"/>
      <c r="QR328" s="173"/>
      <c r="QS328" s="173"/>
      <c r="QT328" s="173"/>
      <c r="QU328" s="173"/>
      <c r="QV328" s="173"/>
      <c r="QW328" s="173"/>
      <c r="QX328" s="173"/>
      <c r="QY328" s="173"/>
      <c r="QZ328" s="173"/>
      <c r="RA328" s="173"/>
      <c r="RB328" s="173"/>
      <c r="RC328" s="173"/>
      <c r="RD328" s="173"/>
      <c r="RE328" s="173"/>
      <c r="RF328" s="173"/>
      <c r="RG328" s="173"/>
      <c r="RH328" s="173"/>
      <c r="RI328" s="173"/>
      <c r="RJ328" s="173"/>
      <c r="RK328" s="173"/>
      <c r="RL328" s="173"/>
      <c r="RM328" s="173"/>
      <c r="RN328" s="173"/>
      <c r="RO328" s="173"/>
      <c r="RP328" s="173"/>
      <c r="RQ328" s="173"/>
      <c r="RR328" s="173"/>
      <c r="RS328" s="173"/>
      <c r="RT328" s="173"/>
      <c r="RU328" s="173"/>
      <c r="RV328" s="173"/>
      <c r="RW328" s="173"/>
      <c r="RX328" s="173"/>
      <c r="RY328" s="173"/>
      <c r="RZ328" s="173"/>
      <c r="SA328" s="173"/>
      <c r="SB328" s="173"/>
      <c r="SC328" s="173"/>
      <c r="SD328" s="173"/>
      <c r="SE328" s="173"/>
      <c r="SF328" s="173"/>
      <c r="SG328" s="173"/>
      <c r="SH328" s="173"/>
      <c r="SI328" s="173"/>
      <c r="SJ328" s="173"/>
      <c r="SK328" s="173"/>
      <c r="SL328" s="173"/>
      <c r="SM328" s="173"/>
      <c r="SN328" s="173"/>
      <c r="SO328" s="173"/>
      <c r="SP328" s="173"/>
      <c r="SQ328" s="173"/>
      <c r="SR328" s="173"/>
      <c r="SS328" s="173"/>
      <c r="ST328" s="173"/>
      <c r="SU328" s="173"/>
      <c r="SV328" s="173"/>
      <c r="SW328" s="173"/>
      <c r="SX328" s="173"/>
      <c r="SY328" s="173"/>
      <c r="SZ328" s="173"/>
      <c r="TA328" s="173"/>
      <c r="TB328" s="173"/>
      <c r="TC328" s="173"/>
      <c r="TD328" s="173"/>
      <c r="TE328" s="173"/>
      <c r="TF328" s="173"/>
      <c r="TG328" s="173"/>
      <c r="TH328" s="173"/>
      <c r="TI328" s="173"/>
      <c r="TJ328" s="173"/>
      <c r="TK328" s="173"/>
      <c r="TL328" s="173"/>
      <c r="TM328" s="173"/>
      <c r="TN328" s="173"/>
      <c r="TO328" s="173"/>
      <c r="TP328" s="173"/>
      <c r="TQ328" s="173"/>
      <c r="TR328" s="173"/>
      <c r="TS328" s="173"/>
      <c r="TT328" s="173"/>
      <c r="TU328" s="173"/>
      <c r="TV328" s="173"/>
      <c r="TW328" s="173"/>
      <c r="TX328" s="173"/>
      <c r="TY328" s="173"/>
      <c r="TZ328" s="173"/>
      <c r="UA328" s="173"/>
      <c r="UB328" s="173"/>
      <c r="UC328" s="173"/>
      <c r="UD328" s="173"/>
      <c r="UE328" s="173"/>
      <c r="UF328" s="173"/>
      <c r="UG328" s="173"/>
      <c r="UH328" s="173"/>
      <c r="UI328" s="173"/>
      <c r="UJ328" s="173"/>
      <c r="UK328" s="173"/>
      <c r="UL328" s="173"/>
      <c r="UM328" s="173"/>
      <c r="UN328" s="173"/>
      <c r="UO328" s="173"/>
      <c r="UP328" s="173"/>
      <c r="UQ328" s="173"/>
      <c r="UR328" s="173"/>
      <c r="US328" s="173"/>
      <c r="UT328" s="173"/>
      <c r="UU328" s="173"/>
      <c r="UV328" s="173"/>
      <c r="UW328" s="173"/>
      <c r="UX328" s="173"/>
      <c r="UY328" s="173"/>
      <c r="UZ328" s="173"/>
      <c r="VA328" s="173"/>
      <c r="VB328" s="173"/>
      <c r="VC328" s="173"/>
      <c r="VD328" s="173"/>
      <c r="VE328" s="173"/>
      <c r="VF328" s="173"/>
      <c r="VG328" s="173"/>
      <c r="VH328" s="173"/>
      <c r="VI328" s="173"/>
      <c r="VJ328" s="173"/>
      <c r="VK328" s="173"/>
      <c r="VL328" s="173"/>
      <c r="VM328" s="173"/>
      <c r="VN328" s="173"/>
      <c r="VO328" s="173"/>
      <c r="VP328" s="173"/>
      <c r="VQ328" s="173"/>
      <c r="VR328" s="173"/>
      <c r="VS328" s="173"/>
      <c r="VT328" s="173"/>
      <c r="VU328" s="173"/>
      <c r="VV328" s="173"/>
      <c r="VW328" s="173"/>
      <c r="VX328" s="173"/>
      <c r="VY328" s="173"/>
      <c r="VZ328" s="173"/>
      <c r="WA328" s="173"/>
      <c r="WB328" s="173"/>
      <c r="WC328" s="173"/>
      <c r="WD328" s="173"/>
      <c r="WE328" s="173"/>
      <c r="WF328" s="173"/>
      <c r="WG328" s="173"/>
      <c r="WH328" s="173"/>
      <c r="WI328" s="173"/>
      <c r="WJ328" s="173"/>
      <c r="WK328" s="173"/>
      <c r="WL328" s="173"/>
      <c r="WM328" s="173"/>
      <c r="WN328" s="173"/>
      <c r="WO328" s="173"/>
      <c r="WP328" s="173"/>
    </row>
    <row r="329" spans="1:614">
      <c r="A329" s="173"/>
      <c r="C329" s="173"/>
      <c r="D329" s="173"/>
      <c r="E329" s="173"/>
      <c r="F329" s="173"/>
      <c r="G329" s="173"/>
      <c r="H329" s="173"/>
      <c r="I329" s="173"/>
      <c r="J329" s="173"/>
      <c r="K329" s="173"/>
      <c r="L329" s="173"/>
      <c r="M329" s="173"/>
      <c r="N329" s="173"/>
      <c r="O329" s="173"/>
      <c r="P329" s="173"/>
      <c r="Q329" s="173"/>
      <c r="R329" s="173"/>
      <c r="S329" s="173"/>
      <c r="T329" s="173"/>
      <c r="U329" s="173"/>
      <c r="V329" s="173"/>
      <c r="W329" s="173"/>
      <c r="X329" s="173"/>
      <c r="Y329" s="173"/>
      <c r="Z329" s="173"/>
      <c r="AA329" s="173"/>
      <c r="AB329" s="173"/>
      <c r="AC329" s="173"/>
      <c r="AD329" s="173"/>
      <c r="AE329" s="173"/>
      <c r="AF329" s="173"/>
      <c r="AG329" s="173"/>
      <c r="AH329" s="173"/>
      <c r="AI329" s="173"/>
      <c r="AJ329" s="173"/>
      <c r="AK329" s="173"/>
      <c r="AL329" s="173"/>
      <c r="AM329" s="173"/>
      <c r="AN329" s="173"/>
      <c r="AO329" s="173"/>
      <c r="AP329" s="173"/>
      <c r="AQ329" s="173"/>
      <c r="AR329" s="173"/>
      <c r="AS329" s="173"/>
      <c r="AT329" s="173"/>
      <c r="AU329" s="173"/>
      <c r="AV329" s="173"/>
      <c r="AW329" s="173"/>
      <c r="AX329" s="173"/>
      <c r="AY329" s="173"/>
      <c r="AZ329" s="173"/>
      <c r="BA329" s="173"/>
      <c r="BB329" s="173"/>
      <c r="BC329" s="173"/>
      <c r="BD329" s="173"/>
      <c r="BE329" s="173"/>
      <c r="BF329" s="173"/>
      <c r="BG329" s="173"/>
      <c r="BH329" s="173"/>
      <c r="BI329" s="173"/>
      <c r="BJ329" s="173"/>
      <c r="BK329" s="173"/>
      <c r="BL329" s="173"/>
      <c r="BM329" s="173"/>
      <c r="BN329" s="173"/>
      <c r="BO329" s="173"/>
      <c r="BP329" s="173"/>
      <c r="BQ329" s="173"/>
      <c r="BR329" s="173"/>
      <c r="BS329" s="173"/>
      <c r="BT329" s="173"/>
      <c r="BU329" s="173"/>
      <c r="BV329" s="173"/>
      <c r="BW329" s="173"/>
      <c r="BX329" s="173"/>
      <c r="BY329" s="173"/>
      <c r="BZ329" s="173"/>
      <c r="CA329" s="173"/>
      <c r="CB329" s="173"/>
      <c r="CC329" s="173"/>
      <c r="CD329" s="173"/>
      <c r="CE329" s="173"/>
      <c r="CF329" s="173"/>
      <c r="CG329" s="173"/>
      <c r="CH329" s="173"/>
      <c r="CI329" s="173"/>
      <c r="CJ329" s="173"/>
      <c r="CK329" s="173"/>
      <c r="CL329" s="173"/>
      <c r="CM329" s="173"/>
      <c r="CN329" s="173"/>
      <c r="CO329" s="173"/>
      <c r="CP329" s="173"/>
      <c r="CQ329" s="173"/>
      <c r="CR329" s="173"/>
      <c r="CS329" s="173"/>
      <c r="CT329" s="173"/>
      <c r="CU329" s="173"/>
      <c r="CV329" s="173"/>
      <c r="CW329" s="173"/>
      <c r="CX329" s="173"/>
      <c r="CY329" s="173"/>
      <c r="CZ329" s="173"/>
      <c r="DA329" s="173"/>
      <c r="DB329" s="173"/>
      <c r="DC329" s="173"/>
      <c r="DD329" s="173"/>
      <c r="DE329" s="173"/>
      <c r="DF329" s="173"/>
      <c r="DG329" s="173"/>
      <c r="DH329" s="173"/>
      <c r="DI329" s="173"/>
      <c r="DJ329" s="173"/>
      <c r="DK329" s="173"/>
      <c r="DL329" s="173"/>
      <c r="DM329" s="173"/>
      <c r="DN329" s="173"/>
      <c r="DO329" s="173"/>
      <c r="DP329" s="173"/>
      <c r="DQ329" s="173"/>
      <c r="DR329" s="173"/>
      <c r="DS329" s="173"/>
      <c r="DT329" s="173"/>
      <c r="DU329" s="173"/>
      <c r="DV329" s="173"/>
      <c r="DW329" s="173"/>
      <c r="DX329" s="173"/>
      <c r="DY329" s="173"/>
      <c r="DZ329" s="173"/>
      <c r="EA329" s="173"/>
      <c r="EB329" s="173"/>
      <c r="EC329" s="173"/>
      <c r="ED329" s="173"/>
      <c r="EE329" s="173"/>
      <c r="EF329" s="173"/>
      <c r="EG329" s="173"/>
      <c r="EH329" s="173"/>
      <c r="EI329" s="173"/>
      <c r="EJ329" s="173"/>
      <c r="EK329" s="173"/>
      <c r="EL329" s="173"/>
      <c r="EM329" s="173"/>
      <c r="EN329" s="173"/>
      <c r="EO329" s="173"/>
      <c r="EP329" s="173"/>
      <c r="EQ329" s="173"/>
      <c r="ER329" s="173"/>
      <c r="ES329" s="173"/>
      <c r="ET329" s="173"/>
      <c r="EU329" s="173"/>
      <c r="EV329" s="173"/>
      <c r="EW329" s="173"/>
      <c r="EX329" s="173"/>
      <c r="EY329" s="173"/>
      <c r="EZ329" s="173"/>
      <c r="FA329" s="173"/>
      <c r="FB329" s="173"/>
      <c r="FC329" s="173"/>
      <c r="FD329" s="173"/>
      <c r="FE329" s="173"/>
      <c r="FF329" s="173"/>
      <c r="FG329" s="173"/>
      <c r="FH329" s="173"/>
      <c r="FI329" s="173"/>
      <c r="FJ329" s="173"/>
      <c r="FK329" s="173"/>
      <c r="FL329" s="173"/>
      <c r="FM329" s="173"/>
      <c r="FN329" s="173"/>
      <c r="FO329" s="173"/>
      <c r="FP329" s="173"/>
      <c r="FQ329" s="173"/>
      <c r="FR329" s="173"/>
      <c r="FS329" s="173"/>
      <c r="FT329" s="173"/>
      <c r="FU329" s="173"/>
      <c r="FV329" s="173"/>
      <c r="FW329" s="173"/>
      <c r="FX329" s="173"/>
      <c r="FY329" s="173"/>
      <c r="FZ329" s="173"/>
      <c r="GA329" s="173"/>
      <c r="GB329" s="173"/>
      <c r="GC329" s="173"/>
      <c r="GD329" s="173"/>
      <c r="GE329" s="173"/>
      <c r="GF329" s="173"/>
      <c r="GG329" s="173"/>
      <c r="GH329" s="173"/>
      <c r="GI329" s="173"/>
      <c r="GJ329" s="173"/>
      <c r="GK329" s="173"/>
      <c r="GL329" s="173"/>
      <c r="GM329" s="173"/>
      <c r="GN329" s="173"/>
      <c r="GO329" s="173"/>
      <c r="GP329" s="173"/>
      <c r="GQ329" s="173"/>
      <c r="GR329" s="173"/>
      <c r="GS329" s="173"/>
      <c r="GT329" s="173"/>
      <c r="GU329" s="173"/>
      <c r="GV329" s="173"/>
      <c r="GW329" s="173"/>
      <c r="GX329" s="173"/>
      <c r="GY329" s="173"/>
      <c r="GZ329" s="173"/>
      <c r="HA329" s="173"/>
      <c r="HB329" s="173"/>
      <c r="HC329" s="173"/>
      <c r="HD329" s="173"/>
      <c r="HE329" s="173"/>
      <c r="HF329" s="173"/>
      <c r="HG329" s="173"/>
      <c r="HH329" s="173"/>
      <c r="HI329" s="173"/>
      <c r="HJ329" s="173"/>
      <c r="HK329" s="173"/>
      <c r="HL329" s="173"/>
      <c r="HM329" s="173"/>
      <c r="HN329" s="173"/>
      <c r="HO329" s="173"/>
      <c r="HP329" s="173"/>
      <c r="HQ329" s="173"/>
      <c r="HR329" s="173"/>
      <c r="HS329" s="173"/>
      <c r="HT329" s="173"/>
      <c r="HU329" s="173"/>
      <c r="HV329" s="173"/>
      <c r="HW329" s="173"/>
      <c r="HX329" s="173"/>
      <c r="HY329" s="173"/>
      <c r="HZ329" s="173"/>
      <c r="IA329" s="173"/>
      <c r="IB329" s="173"/>
      <c r="IC329" s="173"/>
      <c r="ID329" s="173"/>
      <c r="IE329" s="173"/>
      <c r="IF329" s="173"/>
      <c r="IG329" s="173"/>
      <c r="IH329" s="173"/>
      <c r="II329" s="173"/>
      <c r="IJ329" s="173"/>
      <c r="IK329" s="173"/>
      <c r="IL329" s="173"/>
      <c r="IM329" s="173"/>
      <c r="IN329" s="173"/>
      <c r="IO329" s="173"/>
      <c r="IP329" s="173"/>
      <c r="IQ329" s="173"/>
      <c r="IR329" s="173"/>
      <c r="IS329" s="173"/>
      <c r="IT329" s="173"/>
      <c r="IU329" s="173"/>
      <c r="IV329" s="173"/>
      <c r="IW329" s="173"/>
      <c r="IX329" s="173"/>
      <c r="IY329" s="173"/>
      <c r="IZ329" s="173"/>
      <c r="JA329" s="173"/>
      <c r="JB329" s="173"/>
      <c r="JC329" s="173"/>
      <c r="JD329" s="173"/>
      <c r="JE329" s="173"/>
      <c r="JF329" s="173"/>
      <c r="JG329" s="173"/>
      <c r="JH329" s="173"/>
      <c r="JI329" s="173"/>
      <c r="JJ329" s="173"/>
      <c r="JK329" s="173"/>
      <c r="JL329" s="173"/>
      <c r="JM329" s="173"/>
      <c r="JN329" s="173"/>
      <c r="JO329" s="173"/>
      <c r="JP329" s="173"/>
      <c r="JQ329" s="173"/>
      <c r="JR329" s="173"/>
      <c r="JS329" s="173"/>
      <c r="JT329" s="173"/>
      <c r="JU329" s="173"/>
      <c r="JV329" s="173"/>
      <c r="JW329" s="173"/>
      <c r="JX329" s="173"/>
      <c r="JY329" s="173"/>
      <c r="JZ329" s="173"/>
      <c r="KA329" s="173"/>
      <c r="KB329" s="173"/>
      <c r="KC329" s="173"/>
      <c r="KD329" s="173"/>
      <c r="KE329" s="173"/>
      <c r="KF329" s="173"/>
      <c r="KG329" s="173"/>
      <c r="KH329" s="173"/>
      <c r="KI329" s="173"/>
      <c r="KJ329" s="173"/>
      <c r="KK329" s="173"/>
      <c r="KL329" s="173"/>
      <c r="KM329" s="173"/>
      <c r="KN329" s="173"/>
      <c r="KO329" s="173"/>
      <c r="KP329" s="173"/>
      <c r="KQ329" s="173"/>
      <c r="KR329" s="173"/>
      <c r="KS329" s="173"/>
      <c r="KT329" s="173"/>
      <c r="KU329" s="173"/>
      <c r="KV329" s="173"/>
      <c r="KW329" s="173"/>
      <c r="KX329" s="173"/>
      <c r="KY329" s="173"/>
      <c r="KZ329" s="173"/>
      <c r="LA329" s="173"/>
      <c r="LB329" s="173"/>
      <c r="LC329" s="173"/>
      <c r="LD329" s="173"/>
      <c r="LE329" s="173"/>
      <c r="LF329" s="173"/>
      <c r="LG329" s="173"/>
      <c r="LH329" s="173"/>
      <c r="LI329" s="173"/>
      <c r="LJ329" s="173"/>
      <c r="LK329" s="173"/>
      <c r="LL329" s="173"/>
      <c r="LM329" s="173"/>
      <c r="LN329" s="173"/>
      <c r="LO329" s="173"/>
      <c r="LP329" s="173"/>
      <c r="LQ329" s="173"/>
      <c r="LR329" s="173"/>
      <c r="LS329" s="173"/>
      <c r="LT329" s="173"/>
      <c r="LU329" s="173"/>
      <c r="LV329" s="173"/>
      <c r="LW329" s="173"/>
      <c r="LX329" s="173"/>
      <c r="LY329" s="173"/>
      <c r="LZ329" s="173"/>
      <c r="MA329" s="173"/>
      <c r="MB329" s="173"/>
      <c r="MC329" s="173"/>
      <c r="MD329" s="173"/>
      <c r="ME329" s="173"/>
      <c r="MF329" s="173"/>
      <c r="MG329" s="173"/>
      <c r="MH329" s="173"/>
      <c r="MI329" s="173"/>
      <c r="MJ329" s="173"/>
      <c r="MK329" s="173"/>
      <c r="ML329" s="173"/>
      <c r="MM329" s="173"/>
      <c r="MN329" s="173"/>
      <c r="MO329" s="173"/>
      <c r="MP329" s="173"/>
      <c r="MQ329" s="173"/>
      <c r="MR329" s="173"/>
      <c r="MS329" s="173"/>
      <c r="MT329" s="173"/>
      <c r="MU329" s="173"/>
      <c r="MV329" s="173"/>
      <c r="MW329" s="173"/>
      <c r="MX329" s="173"/>
      <c r="MY329" s="173"/>
      <c r="MZ329" s="173"/>
      <c r="NA329" s="173"/>
      <c r="NB329" s="173"/>
      <c r="NC329" s="173"/>
      <c r="ND329" s="173"/>
      <c r="NE329" s="173"/>
      <c r="NF329" s="173"/>
      <c r="NG329" s="173"/>
      <c r="NH329" s="173"/>
      <c r="NI329" s="173"/>
      <c r="NJ329" s="173"/>
      <c r="NK329" s="173"/>
      <c r="NL329" s="173"/>
      <c r="NM329" s="173"/>
      <c r="NN329" s="173"/>
      <c r="NO329" s="173"/>
      <c r="NP329" s="173"/>
      <c r="NQ329" s="173"/>
      <c r="NR329" s="173"/>
      <c r="NS329" s="173"/>
      <c r="NT329" s="173"/>
      <c r="NU329" s="173"/>
      <c r="NV329" s="173"/>
      <c r="NW329" s="173"/>
      <c r="NX329" s="173"/>
      <c r="NY329" s="173"/>
      <c r="NZ329" s="173"/>
      <c r="OA329" s="173"/>
      <c r="OB329" s="173"/>
      <c r="OC329" s="173"/>
      <c r="OD329" s="173"/>
      <c r="OE329" s="173"/>
      <c r="OF329" s="173"/>
      <c r="OG329" s="173"/>
      <c r="OH329" s="173"/>
      <c r="OI329" s="173"/>
      <c r="OJ329" s="173"/>
      <c r="OK329" s="173"/>
      <c r="OL329" s="173"/>
      <c r="OM329" s="173"/>
      <c r="ON329" s="173"/>
      <c r="OO329" s="173"/>
      <c r="OP329" s="173"/>
      <c r="OQ329" s="173"/>
      <c r="OR329" s="173"/>
      <c r="OS329" s="173"/>
      <c r="OT329" s="173"/>
      <c r="OU329" s="173"/>
      <c r="OV329" s="173"/>
      <c r="OW329" s="173"/>
      <c r="OX329" s="173"/>
      <c r="OY329" s="173"/>
      <c r="OZ329" s="173"/>
      <c r="PA329" s="173"/>
      <c r="PB329" s="173"/>
      <c r="PC329" s="173"/>
      <c r="PD329" s="173"/>
      <c r="PE329" s="173"/>
      <c r="PF329" s="173"/>
      <c r="PG329" s="173"/>
      <c r="PH329" s="173"/>
      <c r="PI329" s="173"/>
      <c r="PJ329" s="173"/>
      <c r="PK329" s="173"/>
      <c r="PL329" s="173"/>
      <c r="PM329" s="173"/>
      <c r="PN329" s="173"/>
      <c r="PO329" s="173"/>
      <c r="PP329" s="173"/>
      <c r="PQ329" s="173"/>
      <c r="PR329" s="173"/>
      <c r="PS329" s="173"/>
      <c r="PT329" s="173"/>
      <c r="PU329" s="173"/>
      <c r="PV329" s="173"/>
      <c r="PW329" s="173"/>
      <c r="PX329" s="173"/>
      <c r="PY329" s="173"/>
      <c r="PZ329" s="173"/>
      <c r="QA329" s="173"/>
      <c r="QB329" s="173"/>
      <c r="QC329" s="173"/>
      <c r="QD329" s="173"/>
      <c r="QE329" s="173"/>
      <c r="QF329" s="173"/>
      <c r="QG329" s="173"/>
      <c r="QH329" s="173"/>
      <c r="QI329" s="173"/>
      <c r="QJ329" s="173"/>
      <c r="QK329" s="173"/>
      <c r="QL329" s="173"/>
      <c r="QM329" s="173"/>
      <c r="QN329" s="173"/>
      <c r="QO329" s="173"/>
      <c r="QP329" s="173"/>
      <c r="QQ329" s="173"/>
      <c r="QR329" s="173"/>
      <c r="QS329" s="173"/>
      <c r="QT329" s="173"/>
      <c r="QU329" s="173"/>
      <c r="QV329" s="173"/>
      <c r="QW329" s="173"/>
      <c r="QX329" s="173"/>
      <c r="QY329" s="173"/>
      <c r="QZ329" s="173"/>
      <c r="RA329" s="173"/>
      <c r="RB329" s="173"/>
      <c r="RC329" s="173"/>
      <c r="RD329" s="173"/>
      <c r="RE329" s="173"/>
      <c r="RF329" s="173"/>
      <c r="RG329" s="173"/>
      <c r="RH329" s="173"/>
      <c r="RI329" s="173"/>
      <c r="RJ329" s="173"/>
      <c r="RK329" s="173"/>
      <c r="RL329" s="173"/>
      <c r="RM329" s="173"/>
      <c r="RN329" s="173"/>
      <c r="RO329" s="173"/>
      <c r="RP329" s="173"/>
      <c r="RQ329" s="173"/>
      <c r="RR329" s="173"/>
      <c r="RS329" s="173"/>
      <c r="RT329" s="173"/>
      <c r="RU329" s="173"/>
      <c r="RV329" s="173"/>
      <c r="RW329" s="173"/>
      <c r="RX329" s="173"/>
      <c r="RY329" s="173"/>
      <c r="RZ329" s="173"/>
      <c r="SA329" s="173"/>
      <c r="SB329" s="173"/>
      <c r="SC329" s="173"/>
      <c r="SD329" s="173"/>
      <c r="SE329" s="173"/>
      <c r="SF329" s="173"/>
      <c r="SG329" s="173"/>
      <c r="SH329" s="173"/>
      <c r="SI329" s="173"/>
      <c r="SJ329" s="173"/>
      <c r="SK329" s="173"/>
      <c r="SL329" s="173"/>
      <c r="SM329" s="173"/>
      <c r="SN329" s="173"/>
      <c r="SO329" s="173"/>
      <c r="SP329" s="173"/>
      <c r="SQ329" s="173"/>
      <c r="SR329" s="173"/>
      <c r="SS329" s="173"/>
      <c r="ST329" s="173"/>
      <c r="SU329" s="173"/>
      <c r="SV329" s="173"/>
      <c r="SW329" s="173"/>
      <c r="SX329" s="173"/>
      <c r="SY329" s="173"/>
      <c r="SZ329" s="173"/>
      <c r="TA329" s="173"/>
      <c r="TB329" s="173"/>
      <c r="TC329" s="173"/>
      <c r="TD329" s="173"/>
      <c r="TE329" s="173"/>
      <c r="TF329" s="173"/>
      <c r="TG329" s="173"/>
      <c r="TH329" s="173"/>
      <c r="TI329" s="173"/>
      <c r="TJ329" s="173"/>
      <c r="TK329" s="173"/>
      <c r="TL329" s="173"/>
      <c r="TM329" s="173"/>
      <c r="TN329" s="173"/>
      <c r="TO329" s="173"/>
      <c r="TP329" s="173"/>
      <c r="TQ329" s="173"/>
      <c r="TR329" s="173"/>
      <c r="TS329" s="173"/>
      <c r="TT329" s="173"/>
      <c r="TU329" s="173"/>
      <c r="TV329" s="173"/>
      <c r="TW329" s="173"/>
      <c r="TX329" s="173"/>
      <c r="TY329" s="173"/>
      <c r="TZ329" s="173"/>
      <c r="UA329" s="173"/>
      <c r="UB329" s="173"/>
      <c r="UC329" s="173"/>
      <c r="UD329" s="173"/>
      <c r="UE329" s="173"/>
      <c r="UF329" s="173"/>
      <c r="UG329" s="173"/>
      <c r="UH329" s="173"/>
      <c r="UI329" s="173"/>
      <c r="UJ329" s="173"/>
      <c r="UK329" s="173"/>
      <c r="UL329" s="173"/>
      <c r="UM329" s="173"/>
      <c r="UN329" s="173"/>
      <c r="UO329" s="173"/>
      <c r="UP329" s="173"/>
      <c r="UQ329" s="173"/>
      <c r="UR329" s="173"/>
      <c r="US329" s="173"/>
      <c r="UT329" s="173"/>
      <c r="UU329" s="173"/>
      <c r="UV329" s="173"/>
      <c r="UW329" s="173"/>
      <c r="UX329" s="173"/>
      <c r="UY329" s="173"/>
      <c r="UZ329" s="173"/>
      <c r="VA329" s="173"/>
      <c r="VB329" s="173"/>
      <c r="VC329" s="173"/>
      <c r="VD329" s="173"/>
      <c r="VE329" s="173"/>
      <c r="VF329" s="173"/>
      <c r="VG329" s="173"/>
      <c r="VH329" s="173"/>
      <c r="VI329" s="173"/>
      <c r="VJ329" s="173"/>
      <c r="VK329" s="173"/>
      <c r="VL329" s="173"/>
      <c r="VM329" s="173"/>
      <c r="VN329" s="173"/>
      <c r="VO329" s="173"/>
      <c r="VP329" s="173"/>
      <c r="VQ329" s="173"/>
      <c r="VR329" s="173"/>
      <c r="VS329" s="173"/>
      <c r="VT329" s="173"/>
      <c r="VU329" s="173"/>
      <c r="VV329" s="173"/>
      <c r="VW329" s="173"/>
      <c r="VX329" s="173"/>
      <c r="VY329" s="173"/>
      <c r="VZ329" s="173"/>
      <c r="WA329" s="173"/>
      <c r="WB329" s="173"/>
      <c r="WC329" s="173"/>
      <c r="WD329" s="173"/>
      <c r="WE329" s="173"/>
      <c r="WF329" s="173"/>
      <c r="WG329" s="173"/>
      <c r="WH329" s="173"/>
      <c r="WI329" s="173"/>
      <c r="WJ329" s="173"/>
      <c r="WK329" s="173"/>
      <c r="WL329" s="173"/>
      <c r="WM329" s="173"/>
      <c r="WN329" s="173"/>
      <c r="WO329" s="173"/>
      <c r="WP329" s="173"/>
    </row>
    <row r="330" spans="1:614">
      <c r="A330" s="173"/>
      <c r="C330" s="173"/>
      <c r="D330" s="173"/>
      <c r="E330" s="173"/>
      <c r="F330" s="173"/>
      <c r="G330" s="173"/>
      <c r="H330" s="173"/>
      <c r="I330" s="173"/>
      <c r="J330" s="173"/>
      <c r="K330" s="173"/>
      <c r="L330" s="173"/>
      <c r="M330" s="173"/>
      <c r="N330" s="173"/>
      <c r="O330" s="173"/>
      <c r="P330" s="173"/>
      <c r="Q330" s="173"/>
      <c r="R330" s="173"/>
      <c r="S330" s="173"/>
      <c r="T330" s="173"/>
      <c r="U330" s="173"/>
      <c r="V330" s="173"/>
      <c r="W330" s="173"/>
      <c r="X330" s="173"/>
      <c r="Y330" s="173"/>
      <c r="Z330" s="173"/>
      <c r="AA330" s="173"/>
      <c r="AB330" s="173"/>
      <c r="AC330" s="173"/>
      <c r="AD330" s="173"/>
      <c r="AE330" s="173"/>
      <c r="AF330" s="173"/>
      <c r="AG330" s="173"/>
      <c r="AH330" s="173"/>
      <c r="AI330" s="173"/>
      <c r="AJ330" s="173"/>
      <c r="AK330" s="173"/>
      <c r="AL330" s="173"/>
      <c r="AM330" s="173"/>
      <c r="AN330" s="173"/>
      <c r="AO330" s="173"/>
      <c r="AP330" s="173"/>
      <c r="AQ330" s="173"/>
      <c r="AR330" s="173"/>
      <c r="AS330" s="173"/>
      <c r="AT330" s="173"/>
      <c r="AU330" s="173"/>
      <c r="AV330" s="173"/>
      <c r="AW330" s="173"/>
      <c r="AX330" s="173"/>
      <c r="AY330" s="173"/>
      <c r="AZ330" s="173"/>
      <c r="BA330" s="173"/>
      <c r="BB330" s="173"/>
      <c r="BC330" s="173"/>
      <c r="BD330" s="173"/>
      <c r="BE330" s="173"/>
      <c r="BF330" s="173"/>
      <c r="BG330" s="173"/>
      <c r="BH330" s="173"/>
      <c r="BI330" s="173"/>
      <c r="BJ330" s="173"/>
      <c r="BK330" s="173"/>
      <c r="BL330" s="173"/>
      <c r="BM330" s="173"/>
      <c r="BN330" s="173"/>
      <c r="BO330" s="173"/>
      <c r="BP330" s="173"/>
      <c r="BQ330" s="173"/>
      <c r="BR330" s="173"/>
      <c r="BS330" s="173"/>
      <c r="BT330" s="173"/>
      <c r="BU330" s="173"/>
      <c r="BV330" s="173"/>
      <c r="BW330" s="173"/>
      <c r="BX330" s="173"/>
      <c r="BY330" s="173"/>
      <c r="BZ330" s="173"/>
      <c r="CA330" s="173"/>
      <c r="CB330" s="173"/>
      <c r="CC330" s="173"/>
      <c r="CD330" s="173"/>
      <c r="CE330" s="173"/>
      <c r="CF330" s="173"/>
      <c r="CG330" s="173"/>
      <c r="CH330" s="173"/>
      <c r="CI330" s="173"/>
      <c r="CJ330" s="173"/>
      <c r="CK330" s="173"/>
      <c r="CL330" s="173"/>
      <c r="CM330" s="173"/>
      <c r="CN330" s="173"/>
      <c r="CO330" s="173"/>
      <c r="CP330" s="173"/>
      <c r="CQ330" s="173"/>
      <c r="CR330" s="173"/>
      <c r="CS330" s="173"/>
      <c r="CT330" s="173"/>
      <c r="CU330" s="173"/>
      <c r="CV330" s="173"/>
      <c r="CW330" s="173"/>
      <c r="CX330" s="173"/>
      <c r="CY330" s="173"/>
      <c r="CZ330" s="173"/>
      <c r="DA330" s="173"/>
      <c r="DB330" s="173"/>
      <c r="DC330" s="173"/>
      <c r="DD330" s="173"/>
      <c r="DE330" s="173"/>
      <c r="DF330" s="173"/>
      <c r="DG330" s="173"/>
      <c r="DH330" s="173"/>
      <c r="DI330" s="173"/>
      <c r="DJ330" s="173"/>
      <c r="DK330" s="173"/>
      <c r="DL330" s="173"/>
      <c r="DM330" s="173"/>
      <c r="DN330" s="173"/>
      <c r="DO330" s="173"/>
      <c r="DP330" s="173"/>
      <c r="DQ330" s="173"/>
      <c r="DR330" s="173"/>
      <c r="DS330" s="173"/>
      <c r="DT330" s="173"/>
      <c r="DU330" s="173"/>
      <c r="DV330" s="173"/>
      <c r="DW330" s="173"/>
      <c r="DX330" s="173"/>
      <c r="DY330" s="173"/>
      <c r="DZ330" s="173"/>
      <c r="EA330" s="173"/>
      <c r="EB330" s="173"/>
      <c r="EC330" s="173"/>
      <c r="ED330" s="173"/>
      <c r="EE330" s="173"/>
      <c r="EF330" s="173"/>
      <c r="EG330" s="173"/>
      <c r="EH330" s="173"/>
      <c r="EI330" s="173"/>
      <c r="EJ330" s="173"/>
      <c r="EK330" s="173"/>
      <c r="EL330" s="173"/>
      <c r="EM330" s="173"/>
      <c r="EN330" s="173"/>
      <c r="EO330" s="173"/>
      <c r="EP330" s="173"/>
      <c r="EQ330" s="173"/>
      <c r="ER330" s="173"/>
      <c r="ES330" s="173"/>
      <c r="ET330" s="173"/>
      <c r="EU330" s="173"/>
      <c r="EV330" s="173"/>
      <c r="EW330" s="173"/>
      <c r="EX330" s="173"/>
      <c r="EY330" s="173"/>
      <c r="EZ330" s="173"/>
      <c r="FA330" s="173"/>
      <c r="FB330" s="173"/>
      <c r="FC330" s="173"/>
      <c r="FD330" s="173"/>
      <c r="FE330" s="173"/>
      <c r="FF330" s="173"/>
      <c r="FG330" s="173"/>
      <c r="FH330" s="173"/>
      <c r="FI330" s="173"/>
      <c r="FJ330" s="173"/>
      <c r="FK330" s="173"/>
      <c r="FL330" s="173"/>
      <c r="FM330" s="173"/>
      <c r="FN330" s="173"/>
      <c r="FO330" s="173"/>
      <c r="FP330" s="173"/>
      <c r="FQ330" s="173"/>
      <c r="FR330" s="173"/>
      <c r="FS330" s="173"/>
      <c r="FT330" s="173"/>
      <c r="FU330" s="173"/>
      <c r="FV330" s="173"/>
      <c r="FW330" s="173"/>
      <c r="FX330" s="173"/>
      <c r="FY330" s="173"/>
      <c r="FZ330" s="173"/>
      <c r="GA330" s="173"/>
      <c r="GB330" s="173"/>
      <c r="GC330" s="173"/>
      <c r="GD330" s="173"/>
      <c r="GE330" s="173"/>
      <c r="GF330" s="173"/>
      <c r="GG330" s="173"/>
      <c r="GH330" s="173"/>
      <c r="GI330" s="173"/>
      <c r="GJ330" s="173"/>
      <c r="GK330" s="173"/>
      <c r="GL330" s="173"/>
      <c r="GM330" s="173"/>
      <c r="GN330" s="173"/>
      <c r="GO330" s="173"/>
      <c r="GP330" s="173"/>
      <c r="GQ330" s="173"/>
      <c r="GR330" s="173"/>
      <c r="GS330" s="173"/>
      <c r="GT330" s="173"/>
      <c r="GU330" s="173"/>
      <c r="GV330" s="173"/>
      <c r="GW330" s="173"/>
      <c r="GX330" s="173"/>
      <c r="GY330" s="173"/>
      <c r="GZ330" s="173"/>
      <c r="HA330" s="173"/>
      <c r="HB330" s="173"/>
      <c r="HC330" s="173"/>
      <c r="HD330" s="173"/>
      <c r="HE330" s="173"/>
      <c r="HF330" s="173"/>
      <c r="HG330" s="173"/>
      <c r="HH330" s="173"/>
      <c r="HI330" s="173"/>
      <c r="HJ330" s="173"/>
      <c r="HK330" s="173"/>
      <c r="HL330" s="173"/>
      <c r="HM330" s="173"/>
      <c r="HN330" s="173"/>
      <c r="HO330" s="173"/>
      <c r="HP330" s="173"/>
      <c r="HQ330" s="173"/>
      <c r="HR330" s="173"/>
      <c r="HS330" s="173"/>
      <c r="HT330" s="173"/>
      <c r="HU330" s="173"/>
      <c r="HV330" s="173"/>
      <c r="HW330" s="173"/>
      <c r="HX330" s="173"/>
      <c r="HY330" s="173"/>
      <c r="HZ330" s="173"/>
      <c r="IA330" s="173"/>
      <c r="IB330" s="173"/>
      <c r="IC330" s="173"/>
      <c r="ID330" s="173"/>
      <c r="IE330" s="173"/>
      <c r="IF330" s="173"/>
      <c r="IG330" s="173"/>
      <c r="IH330" s="173"/>
      <c r="II330" s="173"/>
      <c r="IJ330" s="173"/>
      <c r="IK330" s="173"/>
      <c r="IL330" s="173"/>
      <c r="IM330" s="173"/>
      <c r="IN330" s="173"/>
      <c r="IO330" s="173"/>
      <c r="IP330" s="173"/>
      <c r="IQ330" s="173"/>
      <c r="IR330" s="173"/>
      <c r="IS330" s="173"/>
      <c r="IT330" s="173"/>
      <c r="IU330" s="173"/>
      <c r="IV330" s="173"/>
      <c r="IW330" s="173"/>
      <c r="IX330" s="173"/>
      <c r="IY330" s="173"/>
      <c r="IZ330" s="173"/>
      <c r="JA330" s="173"/>
      <c r="JB330" s="173"/>
      <c r="JC330" s="173"/>
      <c r="JD330" s="173"/>
      <c r="JE330" s="173"/>
      <c r="JF330" s="173"/>
      <c r="JG330" s="173"/>
      <c r="JH330" s="173"/>
      <c r="JI330" s="173"/>
      <c r="JJ330" s="173"/>
      <c r="JK330" s="173"/>
      <c r="JL330" s="173"/>
      <c r="JM330" s="173"/>
      <c r="JN330" s="173"/>
      <c r="JO330" s="173"/>
      <c r="JP330" s="173"/>
      <c r="JQ330" s="173"/>
      <c r="JR330" s="173"/>
      <c r="JS330" s="173"/>
      <c r="JT330" s="173"/>
      <c r="JU330" s="173"/>
      <c r="JV330" s="173"/>
      <c r="JW330" s="173"/>
      <c r="JX330" s="173"/>
      <c r="JY330" s="173"/>
      <c r="JZ330" s="173"/>
      <c r="KA330" s="173"/>
      <c r="KB330" s="173"/>
      <c r="KC330" s="173"/>
      <c r="KD330" s="173"/>
      <c r="KE330" s="173"/>
      <c r="KF330" s="173"/>
      <c r="KG330" s="173"/>
      <c r="KH330" s="173"/>
      <c r="KI330" s="173"/>
      <c r="KJ330" s="173"/>
      <c r="KK330" s="173"/>
      <c r="KL330" s="173"/>
      <c r="KM330" s="173"/>
      <c r="KN330" s="173"/>
      <c r="KO330" s="173"/>
      <c r="KP330" s="173"/>
      <c r="KQ330" s="173"/>
      <c r="KR330" s="173"/>
      <c r="KS330" s="173"/>
      <c r="KT330" s="173"/>
      <c r="KU330" s="173"/>
      <c r="KV330" s="173"/>
      <c r="KW330" s="173"/>
      <c r="KX330" s="173"/>
      <c r="KY330" s="173"/>
      <c r="KZ330" s="173"/>
      <c r="LA330" s="173"/>
      <c r="LB330" s="173"/>
      <c r="LC330" s="173"/>
      <c r="LD330" s="173"/>
      <c r="LE330" s="173"/>
      <c r="LF330" s="173"/>
      <c r="LG330" s="173"/>
      <c r="LH330" s="173"/>
      <c r="LI330" s="173"/>
      <c r="LJ330" s="173"/>
      <c r="LK330" s="173"/>
      <c r="LL330" s="173"/>
      <c r="LM330" s="173"/>
      <c r="LN330" s="173"/>
      <c r="LO330" s="173"/>
      <c r="LP330" s="173"/>
      <c r="LQ330" s="173"/>
      <c r="LR330" s="173"/>
      <c r="LS330" s="173"/>
      <c r="LT330" s="173"/>
      <c r="LU330" s="173"/>
      <c r="LV330" s="173"/>
      <c r="LW330" s="173"/>
      <c r="LX330" s="173"/>
      <c r="LY330" s="173"/>
      <c r="LZ330" s="173"/>
      <c r="MA330" s="173"/>
      <c r="MB330" s="173"/>
      <c r="MC330" s="173"/>
      <c r="MD330" s="173"/>
      <c r="ME330" s="173"/>
      <c r="MF330" s="173"/>
      <c r="MG330" s="173"/>
      <c r="MH330" s="173"/>
      <c r="MI330" s="173"/>
      <c r="MJ330" s="173"/>
      <c r="MK330" s="173"/>
      <c r="ML330" s="173"/>
      <c r="MM330" s="173"/>
      <c r="MN330" s="173"/>
      <c r="MO330" s="173"/>
      <c r="MP330" s="173"/>
      <c r="MQ330" s="173"/>
      <c r="MR330" s="173"/>
      <c r="MS330" s="173"/>
      <c r="MT330" s="173"/>
      <c r="MU330" s="173"/>
      <c r="MV330" s="173"/>
      <c r="MW330" s="173"/>
      <c r="MX330" s="173"/>
      <c r="MY330" s="173"/>
      <c r="MZ330" s="173"/>
      <c r="NA330" s="173"/>
      <c r="NB330" s="173"/>
      <c r="NC330" s="173"/>
      <c r="ND330" s="173"/>
      <c r="NE330" s="173"/>
      <c r="NF330" s="173"/>
      <c r="NG330" s="173"/>
      <c r="NH330" s="173"/>
      <c r="NI330" s="173"/>
      <c r="NJ330" s="173"/>
      <c r="NK330" s="173"/>
      <c r="NL330" s="173"/>
      <c r="NM330" s="173"/>
      <c r="NN330" s="173"/>
      <c r="NO330" s="173"/>
      <c r="NP330" s="173"/>
      <c r="NQ330" s="173"/>
      <c r="NR330" s="173"/>
      <c r="NS330" s="173"/>
      <c r="NT330" s="173"/>
      <c r="NU330" s="173"/>
      <c r="NV330" s="173"/>
      <c r="NW330" s="173"/>
      <c r="NX330" s="173"/>
      <c r="NY330" s="173"/>
      <c r="NZ330" s="173"/>
      <c r="OA330" s="173"/>
      <c r="OB330" s="173"/>
      <c r="OC330" s="173"/>
      <c r="OD330" s="173"/>
      <c r="OE330" s="173"/>
      <c r="OF330" s="173"/>
      <c r="OG330" s="173"/>
      <c r="OH330" s="173"/>
      <c r="OI330" s="173"/>
      <c r="OJ330" s="173"/>
      <c r="OK330" s="173"/>
      <c r="OL330" s="173"/>
      <c r="OM330" s="173"/>
      <c r="ON330" s="173"/>
      <c r="OO330" s="173"/>
      <c r="OP330" s="173"/>
      <c r="OQ330" s="173"/>
      <c r="OR330" s="173"/>
      <c r="OS330" s="173"/>
      <c r="OT330" s="173"/>
      <c r="OU330" s="173"/>
      <c r="OV330" s="173"/>
      <c r="OW330" s="173"/>
      <c r="OX330" s="173"/>
      <c r="OY330" s="173"/>
      <c r="OZ330" s="173"/>
      <c r="PA330" s="173"/>
      <c r="PB330" s="173"/>
      <c r="PC330" s="173"/>
      <c r="PD330" s="173"/>
      <c r="PE330" s="173"/>
      <c r="PF330" s="173"/>
      <c r="PG330" s="173"/>
      <c r="PH330" s="173"/>
      <c r="PI330" s="173"/>
      <c r="PJ330" s="173"/>
      <c r="PK330" s="173"/>
      <c r="PL330" s="173"/>
      <c r="PM330" s="173"/>
      <c r="PN330" s="173"/>
      <c r="PO330" s="173"/>
      <c r="PP330" s="173"/>
      <c r="PQ330" s="173"/>
      <c r="PR330" s="173"/>
      <c r="PS330" s="173"/>
      <c r="PT330" s="173"/>
      <c r="PU330" s="173"/>
      <c r="PV330" s="173"/>
      <c r="PW330" s="173"/>
      <c r="PX330" s="173"/>
      <c r="PY330" s="173"/>
      <c r="PZ330" s="173"/>
      <c r="QA330" s="173"/>
      <c r="QB330" s="173"/>
      <c r="QC330" s="173"/>
      <c r="QD330" s="173"/>
      <c r="QE330" s="173"/>
      <c r="QF330" s="173"/>
      <c r="QG330" s="173"/>
      <c r="QH330" s="173"/>
      <c r="QI330" s="173"/>
      <c r="QJ330" s="173"/>
      <c r="QK330" s="173"/>
      <c r="QL330" s="173"/>
      <c r="QM330" s="173"/>
      <c r="QN330" s="173"/>
      <c r="QO330" s="173"/>
      <c r="QP330" s="173"/>
      <c r="QQ330" s="173"/>
      <c r="QR330" s="173"/>
      <c r="QS330" s="173"/>
      <c r="QT330" s="173"/>
      <c r="QU330" s="173"/>
      <c r="QV330" s="173"/>
      <c r="QW330" s="173"/>
      <c r="QX330" s="173"/>
      <c r="QY330" s="173"/>
      <c r="QZ330" s="173"/>
      <c r="RA330" s="173"/>
      <c r="RB330" s="173"/>
      <c r="RC330" s="173"/>
      <c r="RD330" s="173"/>
      <c r="RE330" s="173"/>
      <c r="RF330" s="173"/>
      <c r="RG330" s="173"/>
      <c r="RH330" s="173"/>
      <c r="RI330" s="173"/>
      <c r="RJ330" s="173"/>
      <c r="RK330" s="173"/>
      <c r="RL330" s="173"/>
      <c r="RM330" s="173"/>
      <c r="RN330" s="173"/>
      <c r="RO330" s="173"/>
      <c r="RP330" s="173"/>
      <c r="RQ330" s="173"/>
      <c r="RR330" s="173"/>
      <c r="RS330" s="173"/>
      <c r="RT330" s="173"/>
      <c r="RU330" s="173"/>
      <c r="RV330" s="173"/>
      <c r="RW330" s="173"/>
      <c r="RX330" s="173"/>
      <c r="RY330" s="173"/>
      <c r="RZ330" s="173"/>
      <c r="SA330" s="173"/>
      <c r="SB330" s="173"/>
      <c r="SC330" s="173"/>
      <c r="SD330" s="173"/>
      <c r="SE330" s="173"/>
      <c r="SF330" s="173"/>
      <c r="SG330" s="173"/>
      <c r="SH330" s="173"/>
      <c r="SI330" s="173"/>
      <c r="SJ330" s="173"/>
      <c r="SK330" s="173"/>
      <c r="SL330" s="173"/>
      <c r="SM330" s="173"/>
      <c r="SN330" s="173"/>
      <c r="SO330" s="173"/>
      <c r="SP330" s="173"/>
      <c r="SQ330" s="173"/>
      <c r="SR330" s="173"/>
      <c r="SS330" s="173"/>
      <c r="ST330" s="173"/>
      <c r="SU330" s="173"/>
      <c r="SV330" s="173"/>
      <c r="SW330" s="173"/>
      <c r="SX330" s="173"/>
      <c r="SY330" s="173"/>
      <c r="SZ330" s="173"/>
      <c r="TA330" s="173"/>
      <c r="TB330" s="173"/>
      <c r="TC330" s="173"/>
      <c r="TD330" s="173"/>
      <c r="TE330" s="173"/>
      <c r="TF330" s="173"/>
      <c r="TG330" s="173"/>
      <c r="TH330" s="173"/>
      <c r="TI330" s="173"/>
      <c r="TJ330" s="173"/>
      <c r="TK330" s="173"/>
      <c r="TL330" s="173"/>
      <c r="TM330" s="173"/>
      <c r="TN330" s="173"/>
      <c r="TO330" s="173"/>
      <c r="TP330" s="173"/>
      <c r="TQ330" s="173"/>
      <c r="TR330" s="173"/>
      <c r="TS330" s="173"/>
      <c r="TT330" s="173"/>
      <c r="TU330" s="173"/>
      <c r="TV330" s="173"/>
      <c r="TW330" s="173"/>
      <c r="TX330" s="173"/>
      <c r="TY330" s="173"/>
      <c r="TZ330" s="173"/>
      <c r="UA330" s="173"/>
      <c r="UB330" s="173"/>
      <c r="UC330" s="173"/>
      <c r="UD330" s="173"/>
      <c r="UE330" s="173"/>
      <c r="UF330" s="173"/>
      <c r="UG330" s="173"/>
      <c r="UH330" s="173"/>
      <c r="UI330" s="173"/>
      <c r="UJ330" s="173"/>
      <c r="UK330" s="173"/>
      <c r="UL330" s="173"/>
      <c r="UM330" s="173"/>
      <c r="UN330" s="173"/>
      <c r="UO330" s="173"/>
      <c r="UP330" s="173"/>
      <c r="UQ330" s="173"/>
      <c r="UR330" s="173"/>
      <c r="US330" s="173"/>
      <c r="UT330" s="173"/>
      <c r="UU330" s="173"/>
      <c r="UV330" s="173"/>
      <c r="UW330" s="173"/>
      <c r="UX330" s="173"/>
      <c r="UY330" s="173"/>
      <c r="UZ330" s="173"/>
      <c r="VA330" s="173"/>
      <c r="VB330" s="173"/>
      <c r="VC330" s="173"/>
      <c r="VD330" s="173"/>
      <c r="VE330" s="173"/>
      <c r="VF330" s="173"/>
      <c r="VG330" s="173"/>
      <c r="VH330" s="173"/>
      <c r="VI330" s="173"/>
      <c r="VJ330" s="173"/>
      <c r="VK330" s="173"/>
      <c r="VL330" s="173"/>
      <c r="VM330" s="173"/>
      <c r="VN330" s="173"/>
      <c r="VO330" s="173"/>
      <c r="VP330" s="173"/>
      <c r="VQ330" s="173"/>
      <c r="VR330" s="173"/>
      <c r="VS330" s="173"/>
      <c r="VT330" s="173"/>
      <c r="VU330" s="173"/>
      <c r="VV330" s="173"/>
      <c r="VW330" s="173"/>
      <c r="VX330" s="173"/>
      <c r="VY330" s="173"/>
      <c r="VZ330" s="173"/>
      <c r="WA330" s="173"/>
      <c r="WB330" s="173"/>
      <c r="WC330" s="173"/>
      <c r="WD330" s="173"/>
      <c r="WE330" s="173"/>
      <c r="WF330" s="173"/>
      <c r="WG330" s="173"/>
      <c r="WH330" s="173"/>
      <c r="WI330" s="173"/>
      <c r="WJ330" s="173"/>
      <c r="WK330" s="173"/>
      <c r="WL330" s="173"/>
      <c r="WM330" s="173"/>
      <c r="WN330" s="173"/>
      <c r="WO330" s="173"/>
      <c r="WP330" s="173"/>
    </row>
    <row r="331" spans="1:614">
      <c r="A331" s="173"/>
      <c r="C331" s="173"/>
      <c r="D331" s="173"/>
      <c r="E331" s="173"/>
      <c r="F331" s="173"/>
      <c r="G331" s="173"/>
      <c r="H331" s="173"/>
      <c r="I331" s="173"/>
      <c r="J331" s="173"/>
      <c r="K331" s="173"/>
      <c r="L331" s="173"/>
      <c r="M331" s="173"/>
      <c r="N331" s="173"/>
      <c r="O331" s="173"/>
      <c r="P331" s="173"/>
      <c r="Q331" s="173"/>
      <c r="R331" s="173"/>
      <c r="S331" s="173"/>
      <c r="T331" s="173"/>
      <c r="U331" s="173"/>
      <c r="V331" s="173"/>
      <c r="W331" s="173"/>
      <c r="X331" s="173"/>
      <c r="Y331" s="173"/>
      <c r="Z331" s="173"/>
      <c r="AA331" s="173"/>
      <c r="AB331" s="173"/>
      <c r="AC331" s="173"/>
      <c r="AD331" s="173"/>
      <c r="AE331" s="173"/>
      <c r="AF331" s="173"/>
      <c r="AG331" s="173"/>
      <c r="AH331" s="173"/>
      <c r="AI331" s="173"/>
      <c r="AJ331" s="173"/>
      <c r="AK331" s="173"/>
      <c r="AL331" s="173"/>
      <c r="AM331" s="173"/>
      <c r="AN331" s="173"/>
      <c r="AO331" s="173"/>
      <c r="AP331" s="173"/>
      <c r="AQ331" s="173"/>
      <c r="AR331" s="173"/>
      <c r="AS331" s="173"/>
      <c r="AT331" s="173"/>
      <c r="AU331" s="173"/>
      <c r="AV331" s="173"/>
      <c r="AW331" s="173"/>
      <c r="AX331" s="173"/>
      <c r="AY331" s="173"/>
      <c r="AZ331" s="173"/>
      <c r="BA331" s="173"/>
      <c r="BB331" s="173"/>
      <c r="BC331" s="173"/>
      <c r="BD331" s="173"/>
      <c r="BE331" s="173"/>
      <c r="BF331" s="173"/>
      <c r="BG331" s="173"/>
      <c r="BH331" s="173"/>
      <c r="BI331" s="173"/>
      <c r="BJ331" s="173"/>
      <c r="BK331" s="173"/>
      <c r="BL331" s="173"/>
      <c r="BM331" s="173"/>
      <c r="BN331" s="173"/>
      <c r="BO331" s="173"/>
      <c r="BP331" s="173"/>
      <c r="BQ331" s="173"/>
      <c r="BR331" s="173"/>
      <c r="BS331" s="173"/>
      <c r="BT331" s="173"/>
      <c r="BU331" s="173"/>
      <c r="BV331" s="173"/>
      <c r="BW331" s="173"/>
      <c r="BX331" s="173"/>
      <c r="BY331" s="173"/>
      <c r="BZ331" s="173"/>
      <c r="CA331" s="173"/>
      <c r="CB331" s="173"/>
      <c r="CC331" s="173"/>
      <c r="CD331" s="173"/>
      <c r="CE331" s="173"/>
      <c r="CF331" s="173"/>
      <c r="CG331" s="173"/>
      <c r="CH331" s="173"/>
      <c r="CI331" s="173"/>
      <c r="CJ331" s="173"/>
      <c r="CK331" s="173"/>
      <c r="CL331" s="173"/>
      <c r="CM331" s="173"/>
      <c r="CN331" s="173"/>
      <c r="CO331" s="173"/>
      <c r="CP331" s="173"/>
      <c r="CQ331" s="173"/>
      <c r="CR331" s="173"/>
      <c r="CS331" s="173"/>
      <c r="CT331" s="173"/>
      <c r="CU331" s="173"/>
      <c r="CV331" s="173"/>
      <c r="CW331" s="173"/>
      <c r="CX331" s="173"/>
      <c r="CY331" s="173"/>
      <c r="CZ331" s="173"/>
      <c r="DA331" s="173"/>
      <c r="DB331" s="173"/>
      <c r="DC331" s="173"/>
      <c r="DD331" s="173"/>
      <c r="DE331" s="173"/>
      <c r="DF331" s="173"/>
      <c r="DG331" s="173"/>
      <c r="DH331" s="173"/>
      <c r="DI331" s="173"/>
      <c r="DJ331" s="173"/>
      <c r="DK331" s="173"/>
      <c r="DL331" s="173"/>
      <c r="DM331" s="173"/>
      <c r="DN331" s="173"/>
      <c r="DO331" s="173"/>
      <c r="DP331" s="173"/>
      <c r="DQ331" s="173"/>
      <c r="DR331" s="173"/>
      <c r="DS331" s="173"/>
      <c r="DT331" s="173"/>
      <c r="DU331" s="173"/>
      <c r="DV331" s="173"/>
      <c r="DW331" s="173"/>
      <c r="DX331" s="173"/>
      <c r="DY331" s="173"/>
      <c r="DZ331" s="173"/>
      <c r="EA331" s="173"/>
      <c r="EB331" s="173"/>
      <c r="EC331" s="173"/>
      <c r="ED331" s="173"/>
      <c r="EE331" s="173"/>
      <c r="EF331" s="173"/>
      <c r="EG331" s="173"/>
      <c r="EH331" s="173"/>
      <c r="EI331" s="173"/>
      <c r="EJ331" s="173"/>
      <c r="EK331" s="173"/>
      <c r="EL331" s="173"/>
      <c r="EM331" s="173"/>
      <c r="EN331" s="173"/>
      <c r="EO331" s="173"/>
      <c r="EP331" s="173"/>
      <c r="EQ331" s="173"/>
      <c r="ER331" s="173"/>
      <c r="ES331" s="173"/>
      <c r="ET331" s="173"/>
      <c r="EU331" s="173"/>
      <c r="EV331" s="173"/>
      <c r="EW331" s="173"/>
      <c r="EX331" s="173"/>
      <c r="EY331" s="173"/>
      <c r="EZ331" s="173"/>
      <c r="FA331" s="173"/>
      <c r="FB331" s="173"/>
      <c r="FC331" s="173"/>
      <c r="FD331" s="173"/>
      <c r="FE331" s="173"/>
      <c r="FF331" s="173"/>
      <c r="FG331" s="173"/>
      <c r="FH331" s="173"/>
      <c r="FI331" s="173"/>
      <c r="FJ331" s="173"/>
      <c r="FK331" s="173"/>
      <c r="FL331" s="173"/>
      <c r="FM331" s="173"/>
      <c r="FN331" s="173"/>
      <c r="FO331" s="173"/>
      <c r="FP331" s="173"/>
      <c r="FQ331" s="173"/>
      <c r="FR331" s="173"/>
      <c r="FS331" s="173"/>
      <c r="FT331" s="173"/>
      <c r="FU331" s="173"/>
      <c r="FV331" s="173"/>
      <c r="FW331" s="173"/>
      <c r="FX331" s="173"/>
      <c r="FY331" s="173"/>
      <c r="FZ331" s="173"/>
      <c r="GA331" s="173"/>
      <c r="GB331" s="173"/>
      <c r="GC331" s="173"/>
      <c r="GD331" s="173"/>
      <c r="GE331" s="173"/>
      <c r="GF331" s="173"/>
      <c r="GG331" s="173"/>
      <c r="GH331" s="173"/>
      <c r="GI331" s="173"/>
      <c r="GJ331" s="173"/>
      <c r="GK331" s="173"/>
      <c r="GL331" s="173"/>
      <c r="GM331" s="173"/>
      <c r="GN331" s="173"/>
      <c r="GO331" s="173"/>
      <c r="GP331" s="173"/>
      <c r="GQ331" s="173"/>
      <c r="GR331" s="173"/>
      <c r="GS331" s="173"/>
      <c r="GT331" s="173"/>
      <c r="GU331" s="173"/>
      <c r="GV331" s="173"/>
      <c r="GW331" s="173"/>
      <c r="GX331" s="173"/>
      <c r="GY331" s="173"/>
      <c r="GZ331" s="173"/>
      <c r="HA331" s="173"/>
      <c r="HB331" s="173"/>
      <c r="HC331" s="173"/>
      <c r="HD331" s="173"/>
      <c r="HE331" s="173"/>
      <c r="HF331" s="173"/>
      <c r="HG331" s="173"/>
      <c r="HH331" s="173"/>
      <c r="HI331" s="173"/>
      <c r="HJ331" s="173"/>
      <c r="HK331" s="173"/>
      <c r="HL331" s="173"/>
      <c r="HM331" s="173"/>
      <c r="HN331" s="173"/>
      <c r="HO331" s="173"/>
      <c r="HP331" s="173"/>
      <c r="HQ331" s="173"/>
      <c r="HR331" s="173"/>
      <c r="HS331" s="173"/>
      <c r="HT331" s="173"/>
      <c r="HU331" s="173"/>
      <c r="HV331" s="173"/>
      <c r="HW331" s="173"/>
      <c r="HX331" s="173"/>
      <c r="HY331" s="173"/>
      <c r="HZ331" s="173"/>
      <c r="IA331" s="173"/>
      <c r="IB331" s="173"/>
      <c r="IC331" s="173"/>
      <c r="ID331" s="173"/>
      <c r="IE331" s="173"/>
      <c r="IF331" s="173"/>
      <c r="IG331" s="173"/>
      <c r="IH331" s="173"/>
      <c r="II331" s="173"/>
      <c r="IJ331" s="173"/>
      <c r="IK331" s="173"/>
      <c r="IL331" s="173"/>
      <c r="IM331" s="173"/>
      <c r="IN331" s="173"/>
      <c r="IO331" s="173"/>
      <c r="IP331" s="173"/>
      <c r="IQ331" s="173"/>
      <c r="IR331" s="173"/>
      <c r="IS331" s="173"/>
      <c r="IT331" s="173"/>
      <c r="IU331" s="173"/>
      <c r="IV331" s="173"/>
      <c r="IW331" s="173"/>
      <c r="IX331" s="173"/>
      <c r="IY331" s="173"/>
      <c r="IZ331" s="173"/>
      <c r="JA331" s="173"/>
      <c r="JB331" s="173"/>
      <c r="JC331" s="173"/>
      <c r="JD331" s="173"/>
      <c r="JE331" s="173"/>
      <c r="JF331" s="173"/>
      <c r="JG331" s="173"/>
      <c r="JH331" s="173"/>
      <c r="JI331" s="173"/>
      <c r="JJ331" s="173"/>
      <c r="JK331" s="173"/>
      <c r="JL331" s="173"/>
      <c r="JM331" s="173"/>
      <c r="JN331" s="173"/>
      <c r="JO331" s="173"/>
      <c r="JP331" s="173"/>
      <c r="JQ331" s="173"/>
      <c r="JR331" s="173"/>
      <c r="JS331" s="173"/>
      <c r="JT331" s="173"/>
      <c r="JU331" s="173"/>
      <c r="JV331" s="173"/>
      <c r="JW331" s="173"/>
      <c r="JX331" s="173"/>
      <c r="JY331" s="173"/>
      <c r="JZ331" s="173"/>
      <c r="KA331" s="173"/>
      <c r="KB331" s="173"/>
      <c r="KC331" s="173"/>
      <c r="KD331" s="173"/>
      <c r="KE331" s="173"/>
      <c r="KF331" s="173"/>
      <c r="KG331" s="173"/>
      <c r="KH331" s="173"/>
      <c r="KI331" s="173"/>
      <c r="KJ331" s="173"/>
      <c r="KK331" s="173"/>
      <c r="KL331" s="173"/>
      <c r="KM331" s="173"/>
      <c r="KN331" s="173"/>
      <c r="KO331" s="173"/>
      <c r="KP331" s="173"/>
      <c r="KQ331" s="173"/>
      <c r="KR331" s="173"/>
      <c r="KS331" s="173"/>
      <c r="KT331" s="173"/>
      <c r="KU331" s="173"/>
      <c r="KV331" s="173"/>
      <c r="KW331" s="173"/>
      <c r="KX331" s="173"/>
      <c r="KY331" s="173"/>
      <c r="KZ331" s="173"/>
      <c r="LA331" s="173"/>
      <c r="LB331" s="173"/>
      <c r="LC331" s="173"/>
      <c r="LD331" s="173"/>
      <c r="LE331" s="173"/>
      <c r="LF331" s="173"/>
      <c r="LG331" s="173"/>
      <c r="LH331" s="173"/>
      <c r="LI331" s="173"/>
      <c r="LJ331" s="173"/>
      <c r="LK331" s="173"/>
      <c r="LL331" s="173"/>
      <c r="LM331" s="173"/>
      <c r="LN331" s="173"/>
      <c r="LO331" s="173"/>
      <c r="LP331" s="173"/>
      <c r="LQ331" s="173"/>
      <c r="LR331" s="173"/>
      <c r="LS331" s="173"/>
      <c r="LT331" s="173"/>
      <c r="LU331" s="173"/>
      <c r="LV331" s="173"/>
      <c r="LW331" s="173"/>
      <c r="LX331" s="173"/>
      <c r="LY331" s="173"/>
      <c r="LZ331" s="173"/>
      <c r="MA331" s="173"/>
      <c r="MB331" s="173"/>
      <c r="MC331" s="173"/>
      <c r="MD331" s="173"/>
      <c r="ME331" s="173"/>
      <c r="MF331" s="173"/>
      <c r="MG331" s="173"/>
      <c r="MH331" s="173"/>
      <c r="MI331" s="173"/>
      <c r="MJ331" s="173"/>
      <c r="MK331" s="173"/>
      <c r="ML331" s="173"/>
      <c r="MM331" s="173"/>
      <c r="MN331" s="173"/>
      <c r="MO331" s="173"/>
      <c r="MP331" s="173"/>
      <c r="MQ331" s="173"/>
      <c r="MR331" s="173"/>
      <c r="MS331" s="173"/>
      <c r="MT331" s="173"/>
      <c r="MU331" s="173"/>
      <c r="MV331" s="173"/>
      <c r="MW331" s="173"/>
      <c r="MX331" s="173"/>
      <c r="MY331" s="173"/>
      <c r="MZ331" s="173"/>
      <c r="NA331" s="173"/>
      <c r="NB331" s="173"/>
      <c r="NC331" s="173"/>
      <c r="ND331" s="173"/>
      <c r="NE331" s="173"/>
      <c r="NF331" s="173"/>
      <c r="NG331" s="173"/>
      <c r="NH331" s="173"/>
      <c r="NI331" s="173"/>
      <c r="NJ331" s="173"/>
      <c r="NK331" s="173"/>
      <c r="NL331" s="173"/>
      <c r="NM331" s="173"/>
      <c r="NN331" s="173"/>
      <c r="NO331" s="173"/>
      <c r="NP331" s="173"/>
      <c r="NQ331" s="173"/>
      <c r="NR331" s="173"/>
      <c r="NS331" s="173"/>
      <c r="NT331" s="173"/>
      <c r="NU331" s="173"/>
      <c r="NV331" s="173"/>
      <c r="NW331" s="173"/>
      <c r="NX331" s="173"/>
      <c r="NY331" s="173"/>
      <c r="NZ331" s="173"/>
      <c r="OA331" s="173"/>
      <c r="OB331" s="173"/>
      <c r="OC331" s="173"/>
      <c r="OD331" s="173"/>
      <c r="OE331" s="173"/>
      <c r="OF331" s="173"/>
      <c r="OG331" s="173"/>
      <c r="OH331" s="173"/>
      <c r="OI331" s="173"/>
      <c r="OJ331" s="173"/>
      <c r="OK331" s="173"/>
      <c r="OL331" s="173"/>
      <c r="OM331" s="173"/>
      <c r="ON331" s="173"/>
      <c r="OO331" s="173"/>
      <c r="OP331" s="173"/>
      <c r="OQ331" s="173"/>
      <c r="OR331" s="173"/>
      <c r="OS331" s="173"/>
      <c r="OT331" s="173"/>
      <c r="OU331" s="173"/>
      <c r="OV331" s="173"/>
      <c r="OW331" s="173"/>
      <c r="OX331" s="173"/>
      <c r="OY331" s="173"/>
      <c r="OZ331" s="173"/>
      <c r="PA331" s="173"/>
      <c r="PB331" s="173"/>
      <c r="PC331" s="173"/>
      <c r="PD331" s="173"/>
      <c r="PE331" s="173"/>
      <c r="PF331" s="173"/>
      <c r="PG331" s="173"/>
      <c r="PH331" s="173"/>
      <c r="PI331" s="173"/>
      <c r="PJ331" s="173"/>
      <c r="PK331" s="173"/>
      <c r="PL331" s="173"/>
      <c r="PM331" s="173"/>
      <c r="PN331" s="173"/>
      <c r="PO331" s="173"/>
      <c r="PP331" s="173"/>
      <c r="PQ331" s="173"/>
      <c r="PR331" s="173"/>
      <c r="PS331" s="173"/>
      <c r="PT331" s="173"/>
      <c r="PU331" s="173"/>
      <c r="PV331" s="173"/>
      <c r="PW331" s="173"/>
      <c r="PX331" s="173"/>
      <c r="PY331" s="173"/>
      <c r="PZ331" s="173"/>
      <c r="QA331" s="173"/>
      <c r="QB331" s="173"/>
      <c r="QC331" s="173"/>
      <c r="QD331" s="173"/>
      <c r="QE331" s="173"/>
      <c r="QF331" s="173"/>
      <c r="QG331" s="173"/>
      <c r="QH331" s="173"/>
      <c r="QI331" s="173"/>
      <c r="QJ331" s="173"/>
      <c r="QK331" s="173"/>
      <c r="QL331" s="173"/>
      <c r="QM331" s="173"/>
      <c r="QN331" s="173"/>
      <c r="QO331" s="173"/>
      <c r="QP331" s="173"/>
      <c r="QQ331" s="173"/>
      <c r="QR331" s="173"/>
      <c r="QS331" s="173"/>
      <c r="QT331" s="173"/>
      <c r="QU331" s="173"/>
      <c r="QV331" s="173"/>
      <c r="QW331" s="173"/>
      <c r="QX331" s="173"/>
      <c r="QY331" s="173"/>
      <c r="QZ331" s="173"/>
      <c r="RA331" s="173"/>
      <c r="RB331" s="173"/>
      <c r="RC331" s="173"/>
      <c r="RD331" s="173"/>
      <c r="RE331" s="173"/>
      <c r="RF331" s="173"/>
      <c r="RG331" s="173"/>
      <c r="RH331" s="173"/>
      <c r="RI331" s="173"/>
      <c r="RJ331" s="173"/>
      <c r="RK331" s="173"/>
      <c r="RL331" s="173"/>
      <c r="RM331" s="173"/>
      <c r="RN331" s="173"/>
      <c r="RO331" s="173"/>
      <c r="RP331" s="173"/>
      <c r="RQ331" s="173"/>
      <c r="RR331" s="173"/>
      <c r="RS331" s="173"/>
      <c r="RT331" s="173"/>
      <c r="RU331" s="173"/>
      <c r="RV331" s="173"/>
      <c r="RW331" s="173"/>
      <c r="RX331" s="173"/>
      <c r="RY331" s="173"/>
      <c r="RZ331" s="173"/>
      <c r="SA331" s="173"/>
      <c r="SB331" s="173"/>
      <c r="SC331" s="173"/>
      <c r="SD331" s="173"/>
      <c r="SE331" s="173"/>
      <c r="SF331" s="173"/>
      <c r="SG331" s="173"/>
      <c r="SH331" s="173"/>
      <c r="SI331" s="173"/>
      <c r="SJ331" s="173"/>
      <c r="SK331" s="173"/>
      <c r="SL331" s="173"/>
      <c r="SM331" s="173"/>
      <c r="SN331" s="173"/>
      <c r="SO331" s="173"/>
      <c r="SP331" s="173"/>
      <c r="SQ331" s="173"/>
      <c r="SR331" s="173"/>
      <c r="SS331" s="173"/>
      <c r="ST331" s="173"/>
      <c r="SU331" s="173"/>
      <c r="SV331" s="173"/>
      <c r="SW331" s="173"/>
      <c r="SX331" s="173"/>
      <c r="SY331" s="173"/>
      <c r="SZ331" s="173"/>
      <c r="TA331" s="173"/>
      <c r="TB331" s="173"/>
      <c r="TC331" s="173"/>
      <c r="TD331" s="173"/>
      <c r="TE331" s="173"/>
      <c r="TF331" s="173"/>
      <c r="TG331" s="173"/>
      <c r="TH331" s="173"/>
      <c r="TI331" s="173"/>
      <c r="TJ331" s="173"/>
      <c r="TK331" s="173"/>
      <c r="TL331" s="173"/>
      <c r="TM331" s="173"/>
      <c r="TN331" s="173"/>
      <c r="TO331" s="173"/>
      <c r="TP331" s="173"/>
      <c r="TQ331" s="173"/>
      <c r="TR331" s="173"/>
      <c r="TS331" s="173"/>
      <c r="TT331" s="173"/>
      <c r="TU331" s="173"/>
      <c r="TV331" s="173"/>
      <c r="TW331" s="173"/>
      <c r="TX331" s="173"/>
      <c r="TY331" s="173"/>
      <c r="TZ331" s="173"/>
      <c r="UA331" s="173"/>
      <c r="UB331" s="173"/>
      <c r="UC331" s="173"/>
      <c r="UD331" s="173"/>
      <c r="UE331" s="173"/>
      <c r="UF331" s="173"/>
      <c r="UG331" s="173"/>
      <c r="UH331" s="173"/>
      <c r="UI331" s="173"/>
      <c r="UJ331" s="173"/>
      <c r="UK331" s="173"/>
      <c r="UL331" s="173"/>
      <c r="UM331" s="173"/>
      <c r="UN331" s="173"/>
      <c r="UO331" s="173"/>
      <c r="UP331" s="173"/>
      <c r="UQ331" s="173"/>
      <c r="UR331" s="173"/>
      <c r="US331" s="173"/>
      <c r="UT331" s="173"/>
      <c r="UU331" s="173"/>
      <c r="UV331" s="173"/>
      <c r="UW331" s="173"/>
      <c r="UX331" s="173"/>
      <c r="UY331" s="173"/>
      <c r="UZ331" s="173"/>
      <c r="VA331" s="173"/>
      <c r="VB331" s="173"/>
      <c r="VC331" s="173"/>
      <c r="VD331" s="173"/>
      <c r="VE331" s="173"/>
      <c r="VF331" s="173"/>
      <c r="VG331" s="173"/>
      <c r="VH331" s="173"/>
      <c r="VI331" s="173"/>
      <c r="VJ331" s="173"/>
      <c r="VK331" s="173"/>
      <c r="VL331" s="173"/>
      <c r="VM331" s="173"/>
      <c r="VN331" s="173"/>
      <c r="VO331" s="173"/>
      <c r="VP331" s="173"/>
      <c r="VQ331" s="173"/>
      <c r="VR331" s="173"/>
      <c r="VS331" s="173"/>
      <c r="VT331" s="173"/>
      <c r="VU331" s="173"/>
      <c r="VV331" s="173"/>
      <c r="VW331" s="173"/>
      <c r="VX331" s="173"/>
      <c r="VY331" s="173"/>
      <c r="VZ331" s="173"/>
      <c r="WA331" s="173"/>
      <c r="WB331" s="173"/>
      <c r="WC331" s="173"/>
      <c r="WD331" s="173"/>
      <c r="WE331" s="173"/>
      <c r="WF331" s="173"/>
      <c r="WG331" s="173"/>
      <c r="WH331" s="173"/>
      <c r="WI331" s="173"/>
      <c r="WJ331" s="173"/>
      <c r="WK331" s="173"/>
      <c r="WL331" s="173"/>
      <c r="WM331" s="173"/>
      <c r="WN331" s="173"/>
      <c r="WO331" s="173"/>
      <c r="WP331" s="173"/>
    </row>
    <row r="332" spans="1:614">
      <c r="A332" s="173"/>
      <c r="C332" s="173"/>
      <c r="D332" s="173"/>
      <c r="E332" s="173"/>
      <c r="F332" s="173"/>
      <c r="G332" s="173"/>
      <c r="H332" s="173"/>
      <c r="I332" s="173"/>
      <c r="J332" s="173"/>
      <c r="K332" s="173"/>
      <c r="L332" s="173"/>
      <c r="M332" s="173"/>
      <c r="N332" s="173"/>
      <c r="O332" s="173"/>
      <c r="P332" s="173"/>
      <c r="Q332" s="173"/>
      <c r="R332" s="173"/>
      <c r="S332" s="173"/>
      <c r="T332" s="173"/>
      <c r="U332" s="173"/>
      <c r="V332" s="173"/>
      <c r="W332" s="173"/>
      <c r="X332" s="173"/>
      <c r="Y332" s="173"/>
      <c r="Z332" s="173"/>
      <c r="AA332" s="173"/>
      <c r="AB332" s="173"/>
      <c r="AC332" s="173"/>
      <c r="AD332" s="173"/>
      <c r="AE332" s="173"/>
      <c r="AF332" s="173"/>
      <c r="AG332" s="173"/>
      <c r="AH332" s="173"/>
      <c r="AI332" s="173"/>
      <c r="AJ332" s="173"/>
      <c r="AK332" s="173"/>
      <c r="AL332" s="173"/>
      <c r="AM332" s="173"/>
      <c r="AN332" s="173"/>
      <c r="AO332" s="173"/>
      <c r="AP332" s="173"/>
      <c r="AQ332" s="173"/>
      <c r="AR332" s="173"/>
      <c r="AS332" s="173"/>
      <c r="AT332" s="173"/>
      <c r="AU332" s="173"/>
      <c r="AV332" s="173"/>
      <c r="AW332" s="173"/>
      <c r="AX332" s="173"/>
      <c r="AY332" s="173"/>
      <c r="AZ332" s="173"/>
      <c r="BA332" s="173"/>
      <c r="BB332" s="173"/>
      <c r="BC332" s="173"/>
      <c r="BD332" s="173"/>
      <c r="BE332" s="173"/>
      <c r="BF332" s="173"/>
      <c r="BG332" s="173"/>
      <c r="BH332" s="173"/>
      <c r="BI332" s="173"/>
      <c r="BJ332" s="173"/>
      <c r="BK332" s="173"/>
      <c r="BL332" s="173"/>
      <c r="BM332" s="173"/>
      <c r="BN332" s="173"/>
      <c r="BO332" s="173"/>
      <c r="BP332" s="173"/>
      <c r="BQ332" s="173"/>
      <c r="BR332" s="173"/>
      <c r="BS332" s="173"/>
      <c r="BT332" s="173"/>
      <c r="BU332" s="173"/>
      <c r="BV332" s="173"/>
      <c r="BW332" s="173"/>
      <c r="BX332" s="173"/>
      <c r="BY332" s="173"/>
      <c r="BZ332" s="173"/>
      <c r="CA332" s="173"/>
      <c r="CB332" s="173"/>
      <c r="CC332" s="173"/>
      <c r="CD332" s="173"/>
      <c r="CE332" s="173"/>
      <c r="CF332" s="173"/>
      <c r="CG332" s="173"/>
      <c r="CH332" s="173"/>
      <c r="CI332" s="173"/>
      <c r="CJ332" s="173"/>
      <c r="CK332" s="173"/>
      <c r="CL332" s="173"/>
      <c r="CM332" s="173"/>
      <c r="CN332" s="173"/>
      <c r="CO332" s="173"/>
      <c r="CP332" s="173"/>
      <c r="CQ332" s="173"/>
      <c r="CR332" s="173"/>
      <c r="CS332" s="173"/>
      <c r="CT332" s="173"/>
      <c r="CU332" s="173"/>
      <c r="CV332" s="173"/>
      <c r="CW332" s="173"/>
      <c r="CX332" s="173"/>
      <c r="CY332" s="173"/>
      <c r="CZ332" s="173"/>
      <c r="DA332" s="173"/>
      <c r="DB332" s="173"/>
      <c r="DC332" s="173"/>
      <c r="DD332" s="173"/>
      <c r="DE332" s="173"/>
      <c r="DF332" s="173"/>
      <c r="DG332" s="173"/>
      <c r="DH332" s="173"/>
      <c r="DI332" s="173"/>
      <c r="DJ332" s="173"/>
      <c r="DK332" s="173"/>
      <c r="DL332" s="173"/>
      <c r="DM332" s="173"/>
      <c r="DN332" s="173"/>
      <c r="DO332" s="173"/>
      <c r="DP332" s="173"/>
      <c r="DQ332" s="173"/>
      <c r="DR332" s="173"/>
      <c r="DS332" s="173"/>
      <c r="DT332" s="173"/>
      <c r="DU332" s="173"/>
      <c r="DV332" s="173"/>
      <c r="DW332" s="173"/>
      <c r="DX332" s="173"/>
      <c r="DY332" s="173"/>
      <c r="DZ332" s="173"/>
      <c r="EA332" s="173"/>
      <c r="EB332" s="173"/>
      <c r="EC332" s="173"/>
      <c r="ED332" s="173"/>
      <c r="EE332" s="173"/>
      <c r="EF332" s="173"/>
      <c r="EG332" s="173"/>
      <c r="EH332" s="173"/>
      <c r="EI332" s="173"/>
      <c r="EJ332" s="173"/>
      <c r="EK332" s="173"/>
      <c r="EL332" s="173"/>
      <c r="EM332" s="173"/>
      <c r="EN332" s="173"/>
      <c r="EO332" s="173"/>
      <c r="EP332" s="173"/>
      <c r="EQ332" s="173"/>
      <c r="ER332" s="173"/>
      <c r="ES332" s="173"/>
      <c r="ET332" s="173"/>
      <c r="EU332" s="173"/>
      <c r="EV332" s="173"/>
      <c r="EW332" s="173"/>
      <c r="EX332" s="173"/>
      <c r="EY332" s="173"/>
      <c r="EZ332" s="173"/>
      <c r="FA332" s="173"/>
      <c r="FB332" s="173"/>
      <c r="FC332" s="173"/>
      <c r="FD332" s="173"/>
      <c r="FE332" s="173"/>
      <c r="FF332" s="173"/>
      <c r="FG332" s="173"/>
      <c r="FH332" s="173"/>
      <c r="FI332" s="173"/>
      <c r="FJ332" s="173"/>
      <c r="FK332" s="173"/>
      <c r="FL332" s="173"/>
      <c r="FM332" s="173"/>
      <c r="FN332" s="173"/>
      <c r="FO332" s="173"/>
      <c r="FP332" s="173"/>
      <c r="FQ332" s="173"/>
      <c r="FR332" s="173"/>
      <c r="FS332" s="173"/>
      <c r="FT332" s="173"/>
      <c r="FU332" s="173"/>
      <c r="FV332" s="173"/>
      <c r="FW332" s="173"/>
      <c r="FX332" s="173"/>
      <c r="FY332" s="173"/>
      <c r="FZ332" s="173"/>
      <c r="GA332" s="173"/>
      <c r="GB332" s="173"/>
      <c r="GC332" s="173"/>
      <c r="GD332" s="173"/>
      <c r="GE332" s="173"/>
      <c r="GF332" s="173"/>
      <c r="GG332" s="173"/>
      <c r="GH332" s="173"/>
      <c r="GI332" s="173"/>
      <c r="GJ332" s="173"/>
      <c r="GK332" s="173"/>
      <c r="GL332" s="173"/>
      <c r="GM332" s="173"/>
      <c r="GN332" s="173"/>
      <c r="GO332" s="173"/>
      <c r="GP332" s="173"/>
      <c r="GQ332" s="173"/>
      <c r="GR332" s="173"/>
      <c r="GS332" s="173"/>
      <c r="GT332" s="173"/>
      <c r="GU332" s="173"/>
      <c r="GV332" s="173"/>
      <c r="GW332" s="173"/>
      <c r="GX332" s="173"/>
      <c r="GY332" s="173"/>
      <c r="GZ332" s="173"/>
      <c r="HA332" s="173"/>
      <c r="HB332" s="173"/>
      <c r="HC332" s="173"/>
      <c r="HD332" s="173"/>
      <c r="HE332" s="173"/>
      <c r="HF332" s="173"/>
      <c r="HG332" s="173"/>
      <c r="HH332" s="173"/>
      <c r="HI332" s="173"/>
      <c r="HJ332" s="173"/>
      <c r="HK332" s="173"/>
      <c r="HL332" s="173"/>
      <c r="HM332" s="173"/>
      <c r="HN332" s="173"/>
      <c r="HO332" s="173"/>
      <c r="HP332" s="173"/>
      <c r="HQ332" s="173"/>
      <c r="HR332" s="173"/>
      <c r="HS332" s="173"/>
      <c r="HT332" s="173"/>
      <c r="HU332" s="173"/>
      <c r="HV332" s="173"/>
      <c r="HW332" s="173"/>
      <c r="HX332" s="173"/>
      <c r="HY332" s="173"/>
      <c r="HZ332" s="173"/>
      <c r="IA332" s="173"/>
      <c r="IB332" s="173"/>
      <c r="IC332" s="173"/>
      <c r="ID332" s="173"/>
      <c r="IE332" s="173"/>
      <c r="IF332" s="173"/>
      <c r="IG332" s="173"/>
      <c r="IH332" s="173"/>
      <c r="II332" s="173"/>
      <c r="IJ332" s="173"/>
      <c r="IK332" s="173"/>
      <c r="IL332" s="173"/>
      <c r="IM332" s="173"/>
      <c r="IN332" s="173"/>
      <c r="IO332" s="173"/>
      <c r="IP332" s="173"/>
      <c r="IQ332" s="173"/>
      <c r="IR332" s="173"/>
      <c r="IS332" s="173"/>
      <c r="IT332" s="173"/>
      <c r="IU332" s="173"/>
      <c r="IV332" s="173"/>
      <c r="IW332" s="173"/>
      <c r="IX332" s="173"/>
      <c r="IY332" s="173"/>
      <c r="IZ332" s="173"/>
      <c r="JA332" s="173"/>
      <c r="JB332" s="173"/>
      <c r="JC332" s="173"/>
      <c r="JD332" s="173"/>
      <c r="JE332" s="173"/>
      <c r="JF332" s="173"/>
      <c r="JG332" s="173"/>
      <c r="JH332" s="173"/>
      <c r="JI332" s="173"/>
      <c r="JJ332" s="173"/>
      <c r="JK332" s="173"/>
      <c r="JL332" s="173"/>
      <c r="JM332" s="173"/>
      <c r="JN332" s="173"/>
      <c r="JO332" s="173"/>
      <c r="JP332" s="173"/>
      <c r="JQ332" s="173"/>
      <c r="JR332" s="173"/>
      <c r="JS332" s="173"/>
      <c r="JT332" s="173"/>
      <c r="JU332" s="173"/>
      <c r="JV332" s="173"/>
      <c r="JW332" s="173"/>
      <c r="JX332" s="173"/>
      <c r="JY332" s="173"/>
      <c r="JZ332" s="173"/>
      <c r="KA332" s="173"/>
      <c r="KB332" s="173"/>
      <c r="KC332" s="173"/>
      <c r="KD332" s="173"/>
      <c r="KE332" s="173"/>
      <c r="KF332" s="173"/>
      <c r="KG332" s="173"/>
      <c r="KH332" s="173"/>
      <c r="KI332" s="173"/>
      <c r="KJ332" s="173"/>
      <c r="KK332" s="173"/>
      <c r="KL332" s="173"/>
      <c r="KM332" s="173"/>
      <c r="KN332" s="173"/>
      <c r="KO332" s="173"/>
      <c r="KP332" s="173"/>
      <c r="KQ332" s="173"/>
      <c r="KR332" s="173"/>
      <c r="KS332" s="173"/>
      <c r="KT332" s="173"/>
      <c r="KU332" s="173"/>
      <c r="KV332" s="173"/>
      <c r="KW332" s="173"/>
      <c r="KX332" s="173"/>
      <c r="KY332" s="173"/>
      <c r="KZ332" s="173"/>
      <c r="LA332" s="173"/>
      <c r="LB332" s="173"/>
      <c r="LC332" s="173"/>
      <c r="LD332" s="173"/>
      <c r="LE332" s="173"/>
      <c r="LF332" s="173"/>
      <c r="LG332" s="173"/>
      <c r="LH332" s="173"/>
      <c r="LI332" s="173"/>
      <c r="LJ332" s="173"/>
      <c r="LK332" s="173"/>
      <c r="LL332" s="173"/>
      <c r="LM332" s="173"/>
      <c r="LN332" s="173"/>
      <c r="LO332" s="173"/>
      <c r="LP332" s="173"/>
      <c r="LQ332" s="173"/>
      <c r="LR332" s="173"/>
      <c r="LS332" s="173"/>
      <c r="LT332" s="173"/>
      <c r="LU332" s="173"/>
      <c r="LV332" s="173"/>
      <c r="LW332" s="173"/>
      <c r="LX332" s="173"/>
      <c r="LY332" s="173"/>
      <c r="LZ332" s="173"/>
      <c r="MA332" s="173"/>
      <c r="MB332" s="173"/>
      <c r="MC332" s="173"/>
      <c r="MD332" s="173"/>
      <c r="ME332" s="173"/>
      <c r="MF332" s="173"/>
      <c r="MG332" s="173"/>
      <c r="MH332" s="173"/>
      <c r="MI332" s="173"/>
      <c r="MJ332" s="173"/>
      <c r="MK332" s="173"/>
      <c r="ML332" s="173"/>
      <c r="MM332" s="173"/>
      <c r="MN332" s="173"/>
      <c r="MO332" s="173"/>
      <c r="MP332" s="173"/>
      <c r="MQ332" s="173"/>
      <c r="MR332" s="173"/>
      <c r="MS332" s="173"/>
      <c r="MT332" s="173"/>
      <c r="MU332" s="173"/>
      <c r="MV332" s="173"/>
      <c r="MW332" s="173"/>
      <c r="MX332" s="173"/>
      <c r="MY332" s="173"/>
      <c r="MZ332" s="173"/>
      <c r="NA332" s="173"/>
      <c r="NB332" s="173"/>
      <c r="NC332" s="173"/>
      <c r="ND332" s="173"/>
      <c r="NE332" s="173"/>
      <c r="NF332" s="173"/>
      <c r="NG332" s="173"/>
      <c r="NH332" s="173"/>
      <c r="NI332" s="173"/>
      <c r="NJ332" s="173"/>
      <c r="NK332" s="173"/>
      <c r="NL332" s="173"/>
      <c r="NM332" s="173"/>
      <c r="NN332" s="173"/>
      <c r="NO332" s="173"/>
      <c r="NP332" s="173"/>
      <c r="NQ332" s="173"/>
      <c r="NR332" s="173"/>
      <c r="NS332" s="173"/>
      <c r="NT332" s="173"/>
      <c r="NU332" s="173"/>
      <c r="NV332" s="173"/>
      <c r="NW332" s="173"/>
      <c r="NX332" s="173"/>
      <c r="NY332" s="173"/>
      <c r="NZ332" s="173"/>
      <c r="OA332" s="173"/>
      <c r="OB332" s="173"/>
      <c r="OC332" s="173"/>
      <c r="OD332" s="173"/>
      <c r="OE332" s="173"/>
      <c r="OF332" s="173"/>
      <c r="OG332" s="173"/>
      <c r="OH332" s="173"/>
      <c r="OI332" s="173"/>
      <c r="OJ332" s="173"/>
      <c r="OK332" s="173"/>
      <c r="OL332" s="173"/>
      <c r="OM332" s="173"/>
      <c r="ON332" s="173"/>
      <c r="OO332" s="173"/>
      <c r="OP332" s="173"/>
      <c r="OQ332" s="173"/>
      <c r="OR332" s="173"/>
      <c r="OS332" s="173"/>
      <c r="OT332" s="173"/>
      <c r="OU332" s="173"/>
      <c r="OV332" s="173"/>
      <c r="OW332" s="173"/>
      <c r="OX332" s="173"/>
      <c r="OY332" s="173"/>
      <c r="OZ332" s="173"/>
      <c r="PA332" s="173"/>
      <c r="PB332" s="173"/>
      <c r="PC332" s="173"/>
      <c r="PD332" s="173"/>
      <c r="PE332" s="173"/>
      <c r="PF332" s="173"/>
      <c r="PG332" s="173"/>
      <c r="PH332" s="173"/>
      <c r="PI332" s="173"/>
      <c r="PJ332" s="173"/>
      <c r="PK332" s="173"/>
      <c r="PL332" s="173"/>
      <c r="PM332" s="173"/>
      <c r="PN332" s="173"/>
      <c r="PO332" s="173"/>
      <c r="PP332" s="173"/>
      <c r="PQ332" s="173"/>
      <c r="PR332" s="173"/>
      <c r="PS332" s="173"/>
      <c r="PT332" s="173"/>
      <c r="PU332" s="173"/>
      <c r="PV332" s="173"/>
      <c r="PW332" s="173"/>
      <c r="PX332" s="173"/>
      <c r="PY332" s="173"/>
      <c r="PZ332" s="173"/>
      <c r="QA332" s="173"/>
      <c r="QB332" s="173"/>
      <c r="QC332" s="173"/>
      <c r="QD332" s="173"/>
      <c r="QE332" s="173"/>
      <c r="QF332" s="173"/>
      <c r="QG332" s="173"/>
      <c r="QH332" s="173"/>
      <c r="QI332" s="173"/>
      <c r="QJ332" s="173"/>
      <c r="QK332" s="173"/>
      <c r="QL332" s="173"/>
      <c r="QM332" s="173"/>
      <c r="QN332" s="173"/>
      <c r="QO332" s="173"/>
      <c r="QP332" s="173"/>
      <c r="QQ332" s="173"/>
      <c r="QR332" s="173"/>
      <c r="QS332" s="173"/>
      <c r="QT332" s="173"/>
      <c r="QU332" s="173"/>
      <c r="QV332" s="173"/>
      <c r="QW332" s="173"/>
      <c r="QX332" s="173"/>
      <c r="QY332" s="173"/>
      <c r="QZ332" s="173"/>
      <c r="RA332" s="173"/>
      <c r="RB332" s="173"/>
      <c r="RC332" s="173"/>
      <c r="RD332" s="173"/>
      <c r="RE332" s="173"/>
      <c r="RF332" s="173"/>
      <c r="RG332" s="173"/>
      <c r="RH332" s="173"/>
      <c r="RI332" s="173"/>
      <c r="RJ332" s="173"/>
      <c r="RK332" s="173"/>
      <c r="RL332" s="173"/>
      <c r="RM332" s="173"/>
      <c r="RN332" s="173"/>
      <c r="RO332" s="173"/>
      <c r="RP332" s="173"/>
      <c r="RQ332" s="173"/>
      <c r="RR332" s="173"/>
      <c r="RS332" s="173"/>
      <c r="RT332" s="173"/>
      <c r="RU332" s="173"/>
      <c r="RV332" s="173"/>
      <c r="RW332" s="173"/>
      <c r="RX332" s="173"/>
      <c r="RY332" s="173"/>
      <c r="RZ332" s="173"/>
      <c r="SA332" s="173"/>
      <c r="SB332" s="173"/>
      <c r="SC332" s="173"/>
      <c r="SD332" s="173"/>
      <c r="SE332" s="173"/>
      <c r="SF332" s="173"/>
      <c r="SG332" s="173"/>
      <c r="SH332" s="173"/>
      <c r="SI332" s="173"/>
      <c r="SJ332" s="173"/>
      <c r="SK332" s="173"/>
      <c r="SL332" s="173"/>
      <c r="SM332" s="173"/>
      <c r="SN332" s="173"/>
      <c r="SO332" s="173"/>
      <c r="SP332" s="173"/>
      <c r="SQ332" s="173"/>
      <c r="SR332" s="173"/>
      <c r="SS332" s="173"/>
      <c r="ST332" s="173"/>
      <c r="SU332" s="173"/>
      <c r="SV332" s="173"/>
      <c r="SW332" s="173"/>
      <c r="SX332" s="173"/>
      <c r="SY332" s="173"/>
      <c r="SZ332" s="173"/>
      <c r="TA332" s="173"/>
      <c r="TB332" s="173"/>
      <c r="TC332" s="173"/>
      <c r="TD332" s="173"/>
      <c r="TE332" s="173"/>
      <c r="TF332" s="173"/>
      <c r="TG332" s="173"/>
      <c r="TH332" s="173"/>
      <c r="TI332" s="173"/>
      <c r="TJ332" s="173"/>
      <c r="TK332" s="173"/>
      <c r="TL332" s="173"/>
      <c r="TM332" s="173"/>
      <c r="TN332" s="173"/>
      <c r="TO332" s="173"/>
      <c r="TP332" s="173"/>
      <c r="TQ332" s="173"/>
      <c r="TR332" s="173"/>
      <c r="TS332" s="173"/>
      <c r="TT332" s="173"/>
      <c r="TU332" s="173"/>
      <c r="TV332" s="173"/>
      <c r="TW332" s="173"/>
      <c r="TX332" s="173"/>
      <c r="TY332" s="173"/>
      <c r="TZ332" s="173"/>
      <c r="UA332" s="173"/>
      <c r="UB332" s="173"/>
      <c r="UC332" s="173"/>
      <c r="UD332" s="173"/>
      <c r="UE332" s="173"/>
      <c r="UF332" s="173"/>
      <c r="UG332" s="173"/>
      <c r="UH332" s="173"/>
      <c r="UI332" s="173"/>
      <c r="UJ332" s="173"/>
      <c r="UK332" s="173"/>
      <c r="UL332" s="173"/>
      <c r="UM332" s="173"/>
      <c r="UN332" s="173"/>
      <c r="UO332" s="173"/>
      <c r="UP332" s="173"/>
      <c r="UQ332" s="173"/>
      <c r="UR332" s="173"/>
      <c r="US332" s="173"/>
      <c r="UT332" s="173"/>
      <c r="UU332" s="173"/>
      <c r="UV332" s="173"/>
      <c r="UW332" s="173"/>
      <c r="UX332" s="173"/>
      <c r="UY332" s="173"/>
      <c r="UZ332" s="173"/>
      <c r="VA332" s="173"/>
      <c r="VB332" s="173"/>
      <c r="VC332" s="173"/>
      <c r="VD332" s="173"/>
      <c r="VE332" s="173"/>
      <c r="VF332" s="173"/>
      <c r="VG332" s="173"/>
      <c r="VH332" s="173"/>
      <c r="VI332" s="173"/>
      <c r="VJ332" s="173"/>
      <c r="VK332" s="173"/>
      <c r="VL332" s="173"/>
      <c r="VM332" s="173"/>
      <c r="VN332" s="173"/>
      <c r="VO332" s="173"/>
      <c r="VP332" s="173"/>
      <c r="VQ332" s="173"/>
      <c r="VR332" s="173"/>
      <c r="VS332" s="173"/>
      <c r="VT332" s="173"/>
      <c r="VU332" s="173"/>
      <c r="VV332" s="173"/>
      <c r="VW332" s="173"/>
      <c r="VX332" s="173"/>
      <c r="VY332" s="173"/>
      <c r="VZ332" s="173"/>
      <c r="WA332" s="173"/>
      <c r="WB332" s="173"/>
      <c r="WC332" s="173"/>
      <c r="WD332" s="173"/>
      <c r="WE332" s="173"/>
      <c r="WF332" s="173"/>
      <c r="WG332" s="173"/>
      <c r="WH332" s="173"/>
      <c r="WI332" s="173"/>
      <c r="WJ332" s="173"/>
      <c r="WK332" s="173"/>
      <c r="WL332" s="173"/>
      <c r="WM332" s="173"/>
      <c r="WN332" s="173"/>
      <c r="WO332" s="173"/>
      <c r="WP332" s="173"/>
    </row>
    <row r="333" spans="1:614">
      <c r="A333" s="173"/>
      <c r="C333" s="173"/>
      <c r="D333" s="173"/>
      <c r="E333" s="173"/>
      <c r="F333" s="173"/>
      <c r="G333" s="173"/>
      <c r="H333" s="173"/>
      <c r="I333" s="173"/>
      <c r="J333" s="173"/>
      <c r="K333" s="173"/>
      <c r="L333" s="173"/>
      <c r="M333" s="173"/>
      <c r="N333" s="173"/>
      <c r="O333" s="173"/>
      <c r="P333" s="173"/>
      <c r="Q333" s="173"/>
      <c r="R333" s="173"/>
      <c r="S333" s="173"/>
      <c r="T333" s="173"/>
      <c r="U333" s="173"/>
      <c r="V333" s="173"/>
      <c r="W333" s="173"/>
      <c r="X333" s="173"/>
      <c r="Y333" s="173"/>
      <c r="Z333" s="173"/>
      <c r="AA333" s="173"/>
      <c r="AB333" s="173"/>
      <c r="AC333" s="173"/>
      <c r="AD333" s="173"/>
      <c r="AE333" s="173"/>
      <c r="AF333" s="173"/>
      <c r="AG333" s="173"/>
      <c r="AH333" s="173"/>
      <c r="AI333" s="173"/>
      <c r="AJ333" s="173"/>
      <c r="AK333" s="173"/>
      <c r="AL333" s="173"/>
      <c r="AM333" s="173"/>
      <c r="AN333" s="173"/>
      <c r="AO333" s="173"/>
      <c r="AP333" s="173"/>
      <c r="AQ333" s="173"/>
      <c r="AR333" s="173"/>
      <c r="AS333" s="173"/>
      <c r="AT333" s="173"/>
      <c r="AU333" s="173"/>
      <c r="AV333" s="173"/>
      <c r="AW333" s="173"/>
      <c r="AX333" s="173"/>
      <c r="AY333" s="173"/>
      <c r="AZ333" s="173"/>
      <c r="BA333" s="173"/>
      <c r="BB333" s="173"/>
      <c r="BC333" s="173"/>
      <c r="BD333" s="173"/>
      <c r="BE333" s="173"/>
      <c r="BF333" s="173"/>
      <c r="BG333" s="173"/>
      <c r="BH333" s="173"/>
      <c r="BI333" s="173"/>
      <c r="BJ333" s="173"/>
      <c r="BK333" s="173"/>
      <c r="BL333" s="173"/>
      <c r="BM333" s="173"/>
      <c r="BN333" s="173"/>
      <c r="BO333" s="173"/>
      <c r="BP333" s="173"/>
      <c r="BQ333" s="173"/>
      <c r="BR333" s="173"/>
      <c r="BS333" s="173"/>
      <c r="BT333" s="173"/>
      <c r="BU333" s="173"/>
      <c r="BV333" s="173"/>
      <c r="BW333" s="173"/>
      <c r="BX333" s="173"/>
      <c r="BY333" s="173"/>
      <c r="BZ333" s="173"/>
      <c r="CA333" s="173"/>
      <c r="CB333" s="173"/>
      <c r="CC333" s="173"/>
      <c r="CD333" s="173"/>
      <c r="CE333" s="173"/>
      <c r="CF333" s="173"/>
      <c r="CG333" s="173"/>
      <c r="CH333" s="173"/>
      <c r="CI333" s="173"/>
      <c r="CJ333" s="173"/>
      <c r="CK333" s="173"/>
      <c r="CL333" s="173"/>
      <c r="CM333" s="173"/>
      <c r="CN333" s="173"/>
      <c r="CO333" s="173"/>
      <c r="CP333" s="173"/>
      <c r="CQ333" s="173"/>
      <c r="CR333" s="173"/>
      <c r="CS333" s="173"/>
      <c r="CT333" s="173"/>
      <c r="CU333" s="173"/>
      <c r="CV333" s="173"/>
      <c r="CW333" s="173"/>
      <c r="CX333" s="173"/>
      <c r="CY333" s="173"/>
      <c r="CZ333" s="173"/>
      <c r="DA333" s="173"/>
      <c r="DB333" s="173"/>
      <c r="DC333" s="173"/>
      <c r="DD333" s="173"/>
      <c r="DE333" s="173"/>
      <c r="DF333" s="173"/>
      <c r="DG333" s="173"/>
      <c r="DH333" s="173"/>
      <c r="DI333" s="173"/>
      <c r="DJ333" s="173"/>
      <c r="DK333" s="173"/>
      <c r="DL333" s="173"/>
      <c r="DM333" s="173"/>
      <c r="DN333" s="173"/>
      <c r="DO333" s="173"/>
      <c r="DP333" s="173"/>
      <c r="DQ333" s="173"/>
      <c r="DR333" s="173"/>
      <c r="DS333" s="173"/>
      <c r="DT333" s="173"/>
      <c r="DU333" s="173"/>
      <c r="DV333" s="173"/>
      <c r="DW333" s="173"/>
      <c r="DX333" s="173"/>
      <c r="DY333" s="173"/>
      <c r="DZ333" s="173"/>
      <c r="EA333" s="173"/>
      <c r="EB333" s="173"/>
      <c r="EC333" s="173"/>
      <c r="ED333" s="173"/>
      <c r="EE333" s="173"/>
      <c r="EF333" s="173"/>
      <c r="EG333" s="173"/>
      <c r="EH333" s="173"/>
      <c r="EI333" s="173"/>
      <c r="EJ333" s="173"/>
      <c r="EK333" s="173"/>
      <c r="EL333" s="173"/>
      <c r="EM333" s="173"/>
      <c r="EN333" s="173"/>
      <c r="EO333" s="173"/>
      <c r="EP333" s="173"/>
      <c r="EQ333" s="173"/>
      <c r="ER333" s="173"/>
      <c r="ES333" s="173"/>
      <c r="ET333" s="173"/>
      <c r="EU333" s="173"/>
      <c r="EV333" s="173"/>
      <c r="EW333" s="173"/>
      <c r="EX333" s="173"/>
      <c r="EY333" s="173"/>
      <c r="EZ333" s="173"/>
      <c r="FA333" s="173"/>
      <c r="FB333" s="173"/>
      <c r="FC333" s="173"/>
      <c r="FD333" s="173"/>
      <c r="FE333" s="173"/>
      <c r="FF333" s="173"/>
      <c r="FG333" s="173"/>
      <c r="FH333" s="173"/>
      <c r="FI333" s="173"/>
      <c r="FJ333" s="173"/>
      <c r="FK333" s="173"/>
      <c r="FL333" s="173"/>
      <c r="FM333" s="173"/>
      <c r="FN333" s="173"/>
      <c r="FO333" s="173"/>
      <c r="FP333" s="173"/>
      <c r="FQ333" s="173"/>
      <c r="FR333" s="173"/>
      <c r="FS333" s="173"/>
      <c r="FT333" s="173"/>
      <c r="FU333" s="173"/>
      <c r="FV333" s="173"/>
      <c r="FW333" s="173"/>
      <c r="FX333" s="173"/>
      <c r="FY333" s="173"/>
      <c r="FZ333" s="173"/>
      <c r="GA333" s="173"/>
      <c r="GB333" s="173"/>
      <c r="GC333" s="173"/>
      <c r="GD333" s="173"/>
      <c r="GE333" s="173"/>
      <c r="GF333" s="173"/>
      <c r="GG333" s="173"/>
      <c r="GH333" s="173"/>
      <c r="GI333" s="173"/>
      <c r="GJ333" s="173"/>
      <c r="GK333" s="173"/>
      <c r="GL333" s="173"/>
      <c r="GM333" s="173"/>
      <c r="GN333" s="173"/>
      <c r="GO333" s="173"/>
      <c r="GP333" s="173"/>
      <c r="GQ333" s="173"/>
      <c r="GR333" s="173"/>
      <c r="GS333" s="173"/>
      <c r="GT333" s="173"/>
      <c r="GU333" s="173"/>
      <c r="GV333" s="173"/>
      <c r="GW333" s="173"/>
      <c r="GX333" s="173"/>
      <c r="GY333" s="173"/>
      <c r="GZ333" s="173"/>
      <c r="HA333" s="173"/>
      <c r="HB333" s="173"/>
      <c r="HC333" s="173"/>
      <c r="HD333" s="173"/>
      <c r="HE333" s="173"/>
      <c r="HF333" s="173"/>
      <c r="HG333" s="173"/>
      <c r="HH333" s="173"/>
      <c r="HI333" s="173"/>
      <c r="HJ333" s="173"/>
      <c r="HK333" s="173"/>
      <c r="HL333" s="173"/>
      <c r="HM333" s="173"/>
      <c r="HN333" s="173"/>
      <c r="HO333" s="173"/>
      <c r="HP333" s="173"/>
      <c r="HQ333" s="173"/>
      <c r="HR333" s="173"/>
      <c r="HS333" s="173"/>
      <c r="HT333" s="173"/>
      <c r="HU333" s="173"/>
      <c r="HV333" s="173"/>
      <c r="HW333" s="173"/>
      <c r="HX333" s="173"/>
      <c r="HY333" s="173"/>
      <c r="HZ333" s="173"/>
      <c r="IA333" s="173"/>
      <c r="IB333" s="173"/>
      <c r="IC333" s="173"/>
      <c r="ID333" s="173"/>
      <c r="IE333" s="173"/>
      <c r="IF333" s="173"/>
      <c r="IG333" s="173"/>
      <c r="IH333" s="173"/>
      <c r="II333" s="173"/>
      <c r="IJ333" s="173"/>
      <c r="IK333" s="173"/>
      <c r="IL333" s="173"/>
      <c r="IM333" s="173"/>
      <c r="IN333" s="173"/>
      <c r="IO333" s="173"/>
      <c r="IP333" s="173"/>
      <c r="IQ333" s="173"/>
      <c r="IR333" s="173"/>
      <c r="IS333" s="173"/>
      <c r="IT333" s="173"/>
      <c r="IU333" s="173"/>
      <c r="IV333" s="173"/>
      <c r="IW333" s="173"/>
      <c r="IX333" s="173"/>
      <c r="IY333" s="173"/>
      <c r="IZ333" s="173"/>
      <c r="JA333" s="173"/>
      <c r="JB333" s="173"/>
      <c r="JC333" s="173"/>
      <c r="JD333" s="173"/>
      <c r="JE333" s="173"/>
      <c r="JF333" s="173"/>
      <c r="JG333" s="173"/>
      <c r="JH333" s="173"/>
      <c r="JI333" s="173"/>
      <c r="JJ333" s="173"/>
      <c r="JK333" s="173"/>
      <c r="JL333" s="173"/>
      <c r="JM333" s="173"/>
      <c r="JN333" s="173"/>
      <c r="JO333" s="173"/>
      <c r="JP333" s="173"/>
      <c r="JQ333" s="173"/>
      <c r="JR333" s="173"/>
      <c r="JS333" s="173"/>
      <c r="JT333" s="173"/>
      <c r="JU333" s="173"/>
      <c r="JV333" s="173"/>
      <c r="JW333" s="173"/>
      <c r="JX333" s="173"/>
      <c r="JY333" s="173"/>
      <c r="JZ333" s="173"/>
      <c r="KA333" s="173"/>
      <c r="KB333" s="173"/>
      <c r="KC333" s="173"/>
      <c r="KD333" s="173"/>
      <c r="KE333" s="173"/>
      <c r="KF333" s="173"/>
      <c r="KG333" s="173"/>
      <c r="KH333" s="173"/>
      <c r="KI333" s="173"/>
      <c r="KJ333" s="173"/>
      <c r="KK333" s="173"/>
      <c r="KL333" s="173"/>
      <c r="KM333" s="173"/>
      <c r="KN333" s="173"/>
      <c r="KO333" s="173"/>
      <c r="KP333" s="173"/>
      <c r="KQ333" s="173"/>
      <c r="KR333" s="173"/>
      <c r="KS333" s="173"/>
      <c r="KT333" s="173"/>
      <c r="KU333" s="173"/>
      <c r="KV333" s="173"/>
      <c r="KW333" s="173"/>
      <c r="KX333" s="173"/>
      <c r="KY333" s="173"/>
      <c r="KZ333" s="173"/>
      <c r="LA333" s="173"/>
      <c r="LB333" s="173"/>
      <c r="LC333" s="173"/>
      <c r="LD333" s="173"/>
      <c r="LE333" s="173"/>
      <c r="LF333" s="173"/>
      <c r="LG333" s="173"/>
      <c r="LH333" s="173"/>
      <c r="LI333" s="173"/>
      <c r="LJ333" s="173"/>
      <c r="LK333" s="173"/>
      <c r="LL333" s="173"/>
      <c r="LM333" s="173"/>
      <c r="LN333" s="173"/>
      <c r="LO333" s="173"/>
      <c r="LP333" s="173"/>
      <c r="LQ333" s="173"/>
      <c r="LR333" s="173"/>
      <c r="LS333" s="173"/>
      <c r="LT333" s="173"/>
      <c r="LU333" s="173"/>
      <c r="LV333" s="173"/>
      <c r="LW333" s="173"/>
      <c r="LX333" s="173"/>
      <c r="LY333" s="173"/>
      <c r="LZ333" s="173"/>
      <c r="MA333" s="173"/>
      <c r="MB333" s="173"/>
      <c r="MC333" s="173"/>
      <c r="MD333" s="173"/>
      <c r="ME333" s="173"/>
      <c r="MF333" s="173"/>
      <c r="MG333" s="173"/>
      <c r="MH333" s="173"/>
      <c r="MI333" s="173"/>
      <c r="MJ333" s="173"/>
      <c r="MK333" s="173"/>
      <c r="ML333" s="173"/>
      <c r="MM333" s="173"/>
      <c r="MN333" s="173"/>
      <c r="MO333" s="173"/>
      <c r="MP333" s="173"/>
      <c r="MQ333" s="173"/>
      <c r="MR333" s="173"/>
      <c r="MS333" s="173"/>
      <c r="MT333" s="173"/>
      <c r="MU333" s="173"/>
      <c r="MV333" s="173"/>
      <c r="MW333" s="173"/>
      <c r="MX333" s="173"/>
      <c r="MY333" s="173"/>
      <c r="MZ333" s="173"/>
      <c r="NA333" s="173"/>
      <c r="NB333" s="173"/>
      <c r="NC333" s="173"/>
      <c r="ND333" s="173"/>
      <c r="NE333" s="173"/>
      <c r="NF333" s="173"/>
      <c r="NG333" s="173"/>
      <c r="NH333" s="173"/>
      <c r="NI333" s="173"/>
      <c r="NJ333" s="173"/>
      <c r="NK333" s="173"/>
      <c r="NL333" s="173"/>
      <c r="NM333" s="173"/>
      <c r="NN333" s="173"/>
      <c r="NO333" s="173"/>
      <c r="NP333" s="173"/>
      <c r="NQ333" s="173"/>
      <c r="NR333" s="173"/>
      <c r="NS333" s="173"/>
      <c r="NT333" s="173"/>
      <c r="NU333" s="173"/>
      <c r="NV333" s="173"/>
      <c r="NW333" s="173"/>
      <c r="NX333" s="173"/>
      <c r="NY333" s="173"/>
      <c r="NZ333" s="173"/>
      <c r="OA333" s="173"/>
      <c r="OB333" s="173"/>
      <c r="OC333" s="173"/>
      <c r="OD333" s="173"/>
      <c r="OE333" s="173"/>
      <c r="OF333" s="173"/>
      <c r="OG333" s="173"/>
      <c r="OH333" s="173"/>
      <c r="OI333" s="173"/>
      <c r="OJ333" s="173"/>
      <c r="OK333" s="173"/>
      <c r="OL333" s="173"/>
      <c r="OM333" s="173"/>
      <c r="ON333" s="173"/>
      <c r="OO333" s="173"/>
      <c r="OP333" s="173"/>
      <c r="OQ333" s="173"/>
      <c r="OR333" s="173"/>
      <c r="OS333" s="173"/>
      <c r="OT333" s="173"/>
      <c r="OU333" s="173"/>
      <c r="OV333" s="173"/>
      <c r="OW333" s="173"/>
      <c r="OX333" s="173"/>
      <c r="OY333" s="173"/>
      <c r="OZ333" s="173"/>
      <c r="PA333" s="173"/>
      <c r="PB333" s="173"/>
      <c r="PC333" s="173"/>
      <c r="PD333" s="173"/>
      <c r="PE333" s="173"/>
      <c r="PF333" s="173"/>
      <c r="PG333" s="173"/>
      <c r="PH333" s="173"/>
      <c r="PI333" s="173"/>
      <c r="PJ333" s="173"/>
      <c r="PK333" s="173"/>
      <c r="PL333" s="173"/>
      <c r="PM333" s="173"/>
      <c r="PN333" s="173"/>
      <c r="PO333" s="173"/>
      <c r="PP333" s="173"/>
      <c r="PQ333" s="173"/>
      <c r="PR333" s="173"/>
      <c r="PS333" s="173"/>
      <c r="PT333" s="173"/>
      <c r="PU333" s="173"/>
      <c r="PV333" s="173"/>
      <c r="PW333" s="173"/>
      <c r="PX333" s="173"/>
      <c r="PY333" s="173"/>
      <c r="PZ333" s="173"/>
      <c r="QA333" s="173"/>
      <c r="QB333" s="173"/>
      <c r="QC333" s="173"/>
      <c r="QD333" s="173"/>
      <c r="QE333" s="173"/>
      <c r="QF333" s="173"/>
      <c r="QG333" s="173"/>
      <c r="QH333" s="173"/>
      <c r="QI333" s="173"/>
      <c r="QJ333" s="173"/>
      <c r="QK333" s="173"/>
      <c r="QL333" s="173"/>
      <c r="QM333" s="173"/>
      <c r="QN333" s="173"/>
      <c r="QO333" s="173"/>
      <c r="QP333" s="173"/>
      <c r="QQ333" s="173"/>
      <c r="QR333" s="173"/>
      <c r="QS333" s="173"/>
      <c r="QT333" s="173"/>
      <c r="QU333" s="173"/>
      <c r="QV333" s="173"/>
      <c r="QW333" s="173"/>
      <c r="QX333" s="173"/>
      <c r="QY333" s="173"/>
      <c r="QZ333" s="173"/>
      <c r="RA333" s="173"/>
      <c r="RB333" s="173"/>
      <c r="RC333" s="173"/>
      <c r="RD333" s="173"/>
      <c r="RE333" s="173"/>
      <c r="RF333" s="173"/>
      <c r="RG333" s="173"/>
      <c r="RH333" s="173"/>
      <c r="RI333" s="173"/>
      <c r="RJ333" s="173"/>
      <c r="RK333" s="173"/>
      <c r="RL333" s="173"/>
      <c r="RM333" s="173"/>
      <c r="RN333" s="173"/>
      <c r="RO333" s="173"/>
      <c r="RP333" s="173"/>
      <c r="RQ333" s="173"/>
      <c r="RR333" s="173"/>
      <c r="RS333" s="173"/>
      <c r="RT333" s="173"/>
      <c r="RU333" s="173"/>
      <c r="RV333" s="173"/>
      <c r="RW333" s="173"/>
      <c r="RX333" s="173"/>
      <c r="RY333" s="173"/>
      <c r="RZ333" s="173"/>
      <c r="SA333" s="173"/>
      <c r="SB333" s="173"/>
      <c r="SC333" s="173"/>
      <c r="SD333" s="173"/>
      <c r="SE333" s="173"/>
      <c r="SF333" s="173"/>
      <c r="SG333" s="173"/>
      <c r="SH333" s="173"/>
      <c r="SI333" s="173"/>
      <c r="SJ333" s="173"/>
      <c r="SK333" s="173"/>
      <c r="SL333" s="173"/>
      <c r="SM333" s="173"/>
      <c r="SN333" s="173"/>
      <c r="SO333" s="173"/>
      <c r="SP333" s="173"/>
      <c r="SQ333" s="173"/>
      <c r="SR333" s="173"/>
      <c r="SS333" s="173"/>
      <c r="ST333" s="173"/>
      <c r="SU333" s="173"/>
      <c r="SV333" s="173"/>
      <c r="SW333" s="173"/>
      <c r="SX333" s="173"/>
      <c r="SY333" s="173"/>
      <c r="SZ333" s="173"/>
      <c r="TA333" s="173"/>
      <c r="TB333" s="173"/>
      <c r="TC333" s="173"/>
      <c r="TD333" s="173"/>
      <c r="TE333" s="173"/>
      <c r="TF333" s="173"/>
      <c r="TG333" s="173"/>
      <c r="TH333" s="173"/>
      <c r="TI333" s="173"/>
      <c r="TJ333" s="173"/>
      <c r="TK333" s="173"/>
      <c r="TL333" s="173"/>
      <c r="TM333" s="173"/>
      <c r="TN333" s="173"/>
      <c r="TO333" s="173"/>
      <c r="TP333" s="173"/>
      <c r="TQ333" s="173"/>
      <c r="TR333" s="173"/>
      <c r="TS333" s="173"/>
      <c r="TT333" s="173"/>
      <c r="TU333" s="173"/>
      <c r="TV333" s="173"/>
      <c r="TW333" s="173"/>
      <c r="TX333" s="173"/>
      <c r="TY333" s="173"/>
      <c r="TZ333" s="173"/>
      <c r="UA333" s="173"/>
      <c r="UB333" s="173"/>
      <c r="UC333" s="173"/>
      <c r="UD333" s="173"/>
      <c r="UE333" s="173"/>
      <c r="UF333" s="173"/>
      <c r="UG333" s="173"/>
      <c r="UH333" s="173"/>
      <c r="UI333" s="173"/>
      <c r="UJ333" s="173"/>
      <c r="UK333" s="173"/>
      <c r="UL333" s="173"/>
      <c r="UM333" s="173"/>
      <c r="UN333" s="173"/>
      <c r="UO333" s="173"/>
      <c r="UP333" s="173"/>
      <c r="UQ333" s="173"/>
      <c r="UR333" s="173"/>
      <c r="US333" s="173"/>
      <c r="UT333" s="173"/>
      <c r="UU333" s="173"/>
      <c r="UV333" s="173"/>
      <c r="UW333" s="173"/>
      <c r="UX333" s="173"/>
      <c r="UY333" s="173"/>
      <c r="UZ333" s="173"/>
      <c r="VA333" s="173"/>
      <c r="VB333" s="173"/>
      <c r="VC333" s="173"/>
      <c r="VD333" s="173"/>
      <c r="VE333" s="173"/>
      <c r="VF333" s="173"/>
      <c r="VG333" s="173"/>
      <c r="VH333" s="173"/>
      <c r="VI333" s="173"/>
      <c r="VJ333" s="173"/>
      <c r="VK333" s="173"/>
      <c r="VL333" s="173"/>
      <c r="VM333" s="173"/>
      <c r="VN333" s="173"/>
      <c r="VO333" s="173"/>
      <c r="VP333" s="173"/>
      <c r="VQ333" s="173"/>
      <c r="VR333" s="173"/>
      <c r="VS333" s="173"/>
      <c r="VT333" s="173"/>
      <c r="VU333" s="173"/>
      <c r="VV333" s="173"/>
      <c r="VW333" s="173"/>
      <c r="VX333" s="173"/>
      <c r="VY333" s="173"/>
      <c r="VZ333" s="173"/>
      <c r="WA333" s="173"/>
      <c r="WB333" s="173"/>
      <c r="WC333" s="173"/>
      <c r="WD333" s="173"/>
      <c r="WE333" s="173"/>
      <c r="WF333" s="173"/>
      <c r="WG333" s="173"/>
      <c r="WH333" s="173"/>
      <c r="WI333" s="173"/>
      <c r="WJ333" s="173"/>
      <c r="WK333" s="173"/>
      <c r="WL333" s="173"/>
      <c r="WM333" s="173"/>
      <c r="WN333" s="173"/>
      <c r="WO333" s="173"/>
      <c r="WP333" s="173"/>
    </row>
    <row r="334" spans="1:614">
      <c r="A334" s="173"/>
      <c r="C334" s="173"/>
      <c r="D334" s="173"/>
      <c r="E334" s="173"/>
      <c r="F334" s="173"/>
      <c r="G334" s="173"/>
      <c r="H334" s="173"/>
      <c r="I334" s="173"/>
      <c r="J334" s="173"/>
      <c r="K334" s="173"/>
      <c r="L334" s="173"/>
      <c r="M334" s="173"/>
      <c r="N334" s="173"/>
      <c r="O334" s="173"/>
      <c r="P334" s="173"/>
      <c r="Q334" s="173"/>
      <c r="R334" s="173"/>
      <c r="S334" s="173"/>
      <c r="T334" s="173"/>
      <c r="U334" s="173"/>
      <c r="V334" s="173"/>
      <c r="W334" s="173"/>
      <c r="X334" s="173"/>
      <c r="Y334" s="173"/>
      <c r="Z334" s="173"/>
      <c r="AA334" s="173"/>
      <c r="AB334" s="173"/>
      <c r="AC334" s="173"/>
      <c r="AD334" s="173"/>
      <c r="AE334" s="173"/>
      <c r="AF334" s="173"/>
      <c r="AG334" s="173"/>
      <c r="AH334" s="173"/>
      <c r="AI334" s="173"/>
      <c r="AJ334" s="173"/>
      <c r="AK334" s="173"/>
      <c r="AL334" s="173"/>
      <c r="AM334" s="173"/>
      <c r="AN334" s="173"/>
      <c r="AO334" s="173"/>
      <c r="AP334" s="173"/>
      <c r="AQ334" s="173"/>
      <c r="AR334" s="173"/>
      <c r="AS334" s="173"/>
      <c r="AT334" s="173"/>
      <c r="AU334" s="173"/>
      <c r="AV334" s="173"/>
      <c r="AW334" s="173"/>
      <c r="AX334" s="173"/>
      <c r="AY334" s="173"/>
      <c r="AZ334" s="173"/>
      <c r="BA334" s="173"/>
      <c r="BB334" s="173"/>
      <c r="BC334" s="173"/>
      <c r="BD334" s="173"/>
      <c r="BE334" s="173"/>
      <c r="BF334" s="173"/>
      <c r="BG334" s="173"/>
      <c r="BH334" s="173"/>
      <c r="BI334" s="173"/>
      <c r="BJ334" s="173"/>
      <c r="BK334" s="173"/>
      <c r="BL334" s="173"/>
      <c r="BM334" s="173"/>
      <c r="BN334" s="173"/>
      <c r="BO334" s="173"/>
      <c r="BP334" s="173"/>
      <c r="BQ334" s="173"/>
      <c r="BR334" s="173"/>
      <c r="BS334" s="173"/>
      <c r="BT334" s="173"/>
      <c r="BU334" s="173"/>
      <c r="BV334" s="173"/>
      <c r="BW334" s="173"/>
      <c r="BX334" s="173"/>
      <c r="BY334" s="173"/>
      <c r="BZ334" s="173"/>
      <c r="CA334" s="173"/>
      <c r="CB334" s="173"/>
      <c r="CC334" s="173"/>
      <c r="CD334" s="173"/>
      <c r="CE334" s="173"/>
      <c r="CF334" s="173"/>
      <c r="CG334" s="173"/>
      <c r="CH334" s="173"/>
      <c r="CI334" s="173"/>
      <c r="CJ334" s="173"/>
      <c r="CK334" s="173"/>
      <c r="CL334" s="173"/>
      <c r="CM334" s="173"/>
      <c r="CN334" s="173"/>
      <c r="CO334" s="173"/>
      <c r="CP334" s="173"/>
      <c r="CQ334" s="173"/>
      <c r="CR334" s="173"/>
      <c r="CS334" s="173"/>
      <c r="CT334" s="173"/>
      <c r="CU334" s="173"/>
      <c r="CV334" s="173"/>
      <c r="CW334" s="173"/>
      <c r="CX334" s="173"/>
      <c r="CY334" s="173"/>
      <c r="CZ334" s="173"/>
      <c r="DA334" s="173"/>
      <c r="DB334" s="173"/>
      <c r="DC334" s="173"/>
      <c r="DD334" s="173"/>
      <c r="DE334" s="173"/>
      <c r="DF334" s="173"/>
      <c r="DG334" s="173"/>
      <c r="DH334" s="173"/>
      <c r="DI334" s="173"/>
      <c r="DJ334" s="173"/>
      <c r="DK334" s="173"/>
      <c r="DL334" s="173"/>
      <c r="DM334" s="173"/>
      <c r="DN334" s="173"/>
      <c r="DO334" s="173"/>
      <c r="DP334" s="173"/>
      <c r="DQ334" s="173"/>
      <c r="DR334" s="173"/>
      <c r="DS334" s="173"/>
      <c r="DT334" s="173"/>
      <c r="DU334" s="173"/>
      <c r="DV334" s="173"/>
      <c r="DW334" s="173"/>
      <c r="DX334" s="173"/>
      <c r="DY334" s="173"/>
      <c r="DZ334" s="173"/>
      <c r="EA334" s="173"/>
      <c r="EB334" s="173"/>
      <c r="EC334" s="173"/>
      <c r="ED334" s="173"/>
      <c r="EE334" s="173"/>
      <c r="EF334" s="173"/>
      <c r="EG334" s="173"/>
      <c r="EH334" s="173"/>
      <c r="EI334" s="173"/>
      <c r="EJ334" s="173"/>
      <c r="EK334" s="173"/>
      <c r="EL334" s="173"/>
      <c r="EM334" s="173"/>
      <c r="EN334" s="173"/>
      <c r="EO334" s="173"/>
      <c r="EP334" s="173"/>
      <c r="EQ334" s="173"/>
      <c r="ER334" s="173"/>
      <c r="ES334" s="173"/>
      <c r="ET334" s="173"/>
      <c r="EU334" s="173"/>
      <c r="EV334" s="173"/>
      <c r="EW334" s="173"/>
      <c r="EX334" s="173"/>
      <c r="EY334" s="173"/>
      <c r="EZ334" s="173"/>
      <c r="FA334" s="173"/>
      <c r="FB334" s="173"/>
      <c r="FC334" s="173"/>
      <c r="FD334" s="173"/>
      <c r="FE334" s="173"/>
      <c r="FF334" s="173"/>
      <c r="FG334" s="173"/>
      <c r="FH334" s="173"/>
      <c r="FI334" s="173"/>
      <c r="FJ334" s="173"/>
      <c r="FK334" s="173"/>
      <c r="FL334" s="173"/>
      <c r="FM334" s="173"/>
      <c r="FN334" s="173"/>
      <c r="FO334" s="173"/>
      <c r="FP334" s="173"/>
      <c r="FQ334" s="173"/>
      <c r="FR334" s="173"/>
      <c r="FS334" s="173"/>
      <c r="FT334" s="173"/>
      <c r="FU334" s="173"/>
      <c r="FV334" s="173"/>
      <c r="FW334" s="173"/>
      <c r="FX334" s="173"/>
      <c r="FY334" s="173"/>
      <c r="FZ334" s="173"/>
      <c r="GA334" s="173"/>
      <c r="GB334" s="173"/>
      <c r="GC334" s="173"/>
      <c r="GD334" s="173"/>
      <c r="GE334" s="173"/>
      <c r="GF334" s="173"/>
      <c r="GG334" s="173"/>
      <c r="GH334" s="173"/>
      <c r="GI334" s="173"/>
      <c r="GJ334" s="173"/>
      <c r="GK334" s="173"/>
      <c r="GL334" s="173"/>
      <c r="GM334" s="173"/>
      <c r="GN334" s="173"/>
      <c r="GO334" s="173"/>
      <c r="GP334" s="173"/>
      <c r="GQ334" s="173"/>
      <c r="GR334" s="173"/>
      <c r="GS334" s="173"/>
      <c r="GT334" s="173"/>
      <c r="GU334" s="173"/>
      <c r="GV334" s="173"/>
      <c r="GW334" s="173"/>
      <c r="GX334" s="173"/>
      <c r="GY334" s="173"/>
      <c r="GZ334" s="173"/>
      <c r="HA334" s="173"/>
      <c r="HB334" s="173"/>
      <c r="HC334" s="173"/>
      <c r="HD334" s="173"/>
      <c r="HE334" s="173"/>
      <c r="HF334" s="173"/>
      <c r="HG334" s="173"/>
      <c r="HH334" s="173"/>
      <c r="HI334" s="173"/>
      <c r="HJ334" s="173"/>
      <c r="HK334" s="173"/>
      <c r="HL334" s="173"/>
      <c r="HM334" s="173"/>
      <c r="HN334" s="173"/>
      <c r="HO334" s="173"/>
      <c r="HP334" s="173"/>
      <c r="HQ334" s="173"/>
      <c r="HR334" s="173"/>
      <c r="HS334" s="173"/>
      <c r="HT334" s="173"/>
      <c r="HU334" s="173"/>
      <c r="HV334" s="173"/>
      <c r="HW334" s="173"/>
      <c r="HX334" s="173"/>
      <c r="HY334" s="173"/>
      <c r="HZ334" s="173"/>
      <c r="IA334" s="173"/>
      <c r="IB334" s="173"/>
      <c r="IC334" s="173"/>
      <c r="ID334" s="173"/>
      <c r="IE334" s="173"/>
      <c r="IF334" s="173"/>
      <c r="IG334" s="173"/>
      <c r="IH334" s="173"/>
      <c r="II334" s="173"/>
      <c r="IJ334" s="173"/>
      <c r="IK334" s="173"/>
      <c r="IL334" s="173"/>
      <c r="IM334" s="173"/>
      <c r="IN334" s="173"/>
      <c r="IO334" s="173"/>
      <c r="IP334" s="173"/>
      <c r="IQ334" s="173"/>
      <c r="IR334" s="173"/>
      <c r="IS334" s="173"/>
      <c r="IT334" s="173"/>
      <c r="IU334" s="173"/>
      <c r="IV334" s="173"/>
      <c r="IW334" s="173"/>
      <c r="IX334" s="173"/>
      <c r="IY334" s="173"/>
      <c r="IZ334" s="173"/>
      <c r="JA334" s="173"/>
      <c r="JB334" s="173"/>
      <c r="JC334" s="173"/>
      <c r="JD334" s="173"/>
      <c r="JE334" s="173"/>
      <c r="JF334" s="173"/>
      <c r="JG334" s="173"/>
      <c r="JH334" s="173"/>
      <c r="JI334" s="173"/>
      <c r="JJ334" s="173"/>
      <c r="JK334" s="173"/>
      <c r="JL334" s="173"/>
      <c r="JM334" s="173"/>
      <c r="JN334" s="173"/>
      <c r="JO334" s="173"/>
      <c r="JP334" s="173"/>
      <c r="JQ334" s="173"/>
      <c r="JR334" s="173"/>
      <c r="JS334" s="173"/>
      <c r="JT334" s="173"/>
      <c r="JU334" s="173"/>
      <c r="JV334" s="173"/>
      <c r="JW334" s="173"/>
      <c r="JX334" s="173"/>
      <c r="JY334" s="173"/>
      <c r="JZ334" s="173"/>
      <c r="KA334" s="173"/>
      <c r="KB334" s="173"/>
      <c r="KC334" s="173"/>
      <c r="KD334" s="173"/>
      <c r="KE334" s="173"/>
      <c r="KF334" s="173"/>
      <c r="KG334" s="173"/>
      <c r="KH334" s="173"/>
      <c r="KI334" s="173"/>
      <c r="KJ334" s="173"/>
      <c r="KK334" s="173"/>
      <c r="KL334" s="173"/>
      <c r="KM334" s="173"/>
      <c r="KN334" s="173"/>
      <c r="KO334" s="173"/>
      <c r="KP334" s="173"/>
      <c r="KQ334" s="173"/>
      <c r="KR334" s="173"/>
      <c r="KS334" s="173"/>
      <c r="KT334" s="173"/>
      <c r="KU334" s="173"/>
      <c r="KV334" s="173"/>
      <c r="KW334" s="173"/>
      <c r="KX334" s="173"/>
      <c r="KY334" s="173"/>
      <c r="KZ334" s="173"/>
      <c r="LA334" s="173"/>
      <c r="LB334" s="173"/>
      <c r="LC334" s="173"/>
      <c r="LD334" s="173"/>
      <c r="LE334" s="173"/>
      <c r="LF334" s="173"/>
      <c r="LG334" s="173"/>
      <c r="LH334" s="173"/>
      <c r="LI334" s="173"/>
      <c r="LJ334" s="173"/>
      <c r="LK334" s="173"/>
      <c r="LL334" s="173"/>
      <c r="LM334" s="173"/>
      <c r="LN334" s="173"/>
      <c r="LO334" s="173"/>
      <c r="LP334" s="173"/>
      <c r="LQ334" s="173"/>
      <c r="LR334" s="173"/>
      <c r="LS334" s="173"/>
      <c r="LT334" s="173"/>
      <c r="LU334" s="173"/>
      <c r="LV334" s="173"/>
      <c r="LW334" s="173"/>
      <c r="LX334" s="173"/>
      <c r="LY334" s="173"/>
      <c r="LZ334" s="173"/>
      <c r="MA334" s="173"/>
      <c r="MB334" s="173"/>
      <c r="MC334" s="173"/>
      <c r="MD334" s="173"/>
      <c r="ME334" s="173"/>
      <c r="MF334" s="173"/>
      <c r="MG334" s="173"/>
      <c r="MH334" s="173"/>
      <c r="MI334" s="173"/>
      <c r="MJ334" s="173"/>
      <c r="MK334" s="173"/>
      <c r="ML334" s="173"/>
      <c r="MM334" s="173"/>
      <c r="MN334" s="173"/>
      <c r="MO334" s="173"/>
      <c r="MP334" s="173"/>
      <c r="MQ334" s="173"/>
      <c r="MR334" s="173"/>
      <c r="MS334" s="173"/>
      <c r="MT334" s="173"/>
      <c r="MU334" s="173"/>
      <c r="MV334" s="173"/>
      <c r="MW334" s="173"/>
      <c r="MX334" s="173"/>
      <c r="MY334" s="173"/>
      <c r="MZ334" s="173"/>
      <c r="NA334" s="173"/>
      <c r="NB334" s="173"/>
      <c r="NC334" s="173"/>
      <c r="ND334" s="173"/>
      <c r="NE334" s="173"/>
      <c r="NF334" s="173"/>
      <c r="NG334" s="173"/>
      <c r="NH334" s="173"/>
      <c r="NI334" s="173"/>
      <c r="NJ334" s="173"/>
      <c r="NK334" s="173"/>
      <c r="NL334" s="173"/>
      <c r="NM334" s="173"/>
      <c r="NN334" s="173"/>
      <c r="NO334" s="173"/>
      <c r="NP334" s="173"/>
      <c r="NQ334" s="173"/>
      <c r="NR334" s="173"/>
      <c r="NS334" s="173"/>
      <c r="NT334" s="173"/>
      <c r="NU334" s="173"/>
      <c r="NV334" s="173"/>
      <c r="NW334" s="173"/>
      <c r="NX334" s="173"/>
      <c r="NY334" s="173"/>
      <c r="NZ334" s="173"/>
      <c r="OA334" s="173"/>
      <c r="OB334" s="173"/>
      <c r="OC334" s="173"/>
      <c r="OD334" s="173"/>
      <c r="OE334" s="173"/>
      <c r="OF334" s="173"/>
      <c r="OG334" s="173"/>
      <c r="OH334" s="173"/>
      <c r="OI334" s="173"/>
      <c r="OJ334" s="173"/>
      <c r="OK334" s="173"/>
      <c r="OL334" s="173"/>
      <c r="OM334" s="173"/>
      <c r="ON334" s="173"/>
      <c r="OO334" s="173"/>
      <c r="OP334" s="173"/>
      <c r="OQ334" s="173"/>
      <c r="OR334" s="173"/>
      <c r="OS334" s="173"/>
      <c r="OT334" s="173"/>
      <c r="OU334" s="173"/>
      <c r="OV334" s="173"/>
      <c r="OW334" s="173"/>
      <c r="OX334" s="173"/>
      <c r="OY334" s="173"/>
      <c r="OZ334" s="173"/>
      <c r="PA334" s="173"/>
      <c r="PB334" s="173"/>
      <c r="PC334" s="173"/>
      <c r="PD334" s="173"/>
      <c r="PE334" s="173"/>
      <c r="PF334" s="173"/>
      <c r="PG334" s="173"/>
      <c r="PH334" s="173"/>
      <c r="PI334" s="173"/>
      <c r="PJ334" s="173"/>
      <c r="PK334" s="173"/>
      <c r="PL334" s="173"/>
      <c r="PM334" s="173"/>
      <c r="PN334" s="173"/>
      <c r="PO334" s="173"/>
      <c r="PP334" s="173"/>
      <c r="PQ334" s="173"/>
      <c r="PR334" s="173"/>
      <c r="PS334" s="173"/>
      <c r="PT334" s="173"/>
      <c r="PU334" s="173"/>
      <c r="PV334" s="173"/>
      <c r="PW334" s="173"/>
      <c r="PX334" s="173"/>
      <c r="PY334" s="173"/>
      <c r="PZ334" s="173"/>
      <c r="QA334" s="173"/>
      <c r="QB334" s="173"/>
      <c r="QC334" s="173"/>
      <c r="QD334" s="173"/>
      <c r="QE334" s="173"/>
      <c r="QF334" s="173"/>
      <c r="QG334" s="173"/>
      <c r="QH334" s="173"/>
      <c r="QI334" s="173"/>
      <c r="QJ334" s="173"/>
      <c r="QK334" s="173"/>
      <c r="QL334" s="173"/>
      <c r="QM334" s="173"/>
      <c r="QN334" s="173"/>
      <c r="QO334" s="173"/>
      <c r="QP334" s="173"/>
      <c r="QQ334" s="173"/>
      <c r="QR334" s="173"/>
      <c r="QS334" s="173"/>
      <c r="QT334" s="173"/>
      <c r="QU334" s="173"/>
      <c r="QV334" s="173"/>
      <c r="QW334" s="173"/>
      <c r="QX334" s="173"/>
      <c r="QY334" s="173"/>
      <c r="QZ334" s="173"/>
      <c r="RA334" s="173"/>
      <c r="RB334" s="173"/>
      <c r="RC334" s="173"/>
      <c r="RD334" s="173"/>
      <c r="RE334" s="173"/>
      <c r="RF334" s="173"/>
      <c r="RG334" s="173"/>
      <c r="RH334" s="173"/>
      <c r="RI334" s="173"/>
      <c r="RJ334" s="173"/>
      <c r="RK334" s="173"/>
      <c r="RL334" s="173"/>
      <c r="RM334" s="173"/>
      <c r="RN334" s="173"/>
      <c r="RO334" s="173"/>
      <c r="RP334" s="173"/>
      <c r="RQ334" s="173"/>
      <c r="RR334" s="173"/>
      <c r="RS334" s="173"/>
      <c r="RT334" s="173"/>
      <c r="RU334" s="173"/>
      <c r="RV334" s="173"/>
      <c r="RW334" s="173"/>
      <c r="RX334" s="173"/>
      <c r="RY334" s="173"/>
      <c r="RZ334" s="173"/>
      <c r="SA334" s="173"/>
      <c r="SB334" s="173"/>
      <c r="SC334" s="173"/>
      <c r="SD334" s="173"/>
      <c r="SE334" s="173"/>
      <c r="SF334" s="173"/>
      <c r="SG334" s="173"/>
      <c r="SH334" s="173"/>
      <c r="SI334" s="173"/>
      <c r="SJ334" s="173"/>
      <c r="SK334" s="173"/>
      <c r="SL334" s="173"/>
      <c r="SM334" s="173"/>
      <c r="SN334" s="173"/>
      <c r="SO334" s="173"/>
      <c r="SP334" s="173"/>
      <c r="SQ334" s="173"/>
      <c r="SR334" s="173"/>
      <c r="SS334" s="173"/>
      <c r="ST334" s="173"/>
      <c r="SU334" s="173"/>
      <c r="SV334" s="173"/>
      <c r="SW334" s="173"/>
      <c r="SX334" s="173"/>
      <c r="SY334" s="173"/>
      <c r="SZ334" s="173"/>
      <c r="TA334" s="173"/>
      <c r="TB334" s="173"/>
      <c r="TC334" s="173"/>
      <c r="TD334" s="173"/>
      <c r="TE334" s="173"/>
      <c r="TF334" s="173"/>
      <c r="TG334" s="173"/>
      <c r="TH334" s="173"/>
      <c r="TI334" s="173"/>
      <c r="TJ334" s="173"/>
      <c r="TK334" s="173"/>
      <c r="TL334" s="173"/>
      <c r="TM334" s="173"/>
      <c r="TN334" s="173"/>
      <c r="TO334" s="173"/>
      <c r="TP334" s="173"/>
      <c r="TQ334" s="173"/>
      <c r="TR334" s="173"/>
      <c r="TS334" s="173"/>
      <c r="TT334" s="173"/>
      <c r="TU334" s="173"/>
      <c r="TV334" s="173"/>
      <c r="TW334" s="173"/>
      <c r="TX334" s="173"/>
      <c r="TY334" s="173"/>
      <c r="TZ334" s="173"/>
      <c r="UA334" s="173"/>
      <c r="UB334" s="173"/>
      <c r="UC334" s="173"/>
      <c r="UD334" s="173"/>
      <c r="UE334" s="173"/>
      <c r="UF334" s="173"/>
      <c r="UG334" s="173"/>
      <c r="UH334" s="173"/>
      <c r="UI334" s="173"/>
      <c r="UJ334" s="173"/>
      <c r="UK334" s="173"/>
      <c r="UL334" s="173"/>
      <c r="UM334" s="173"/>
      <c r="UN334" s="173"/>
      <c r="UO334" s="173"/>
      <c r="UP334" s="173"/>
      <c r="UQ334" s="173"/>
      <c r="UR334" s="173"/>
      <c r="US334" s="173"/>
      <c r="UT334" s="173"/>
      <c r="UU334" s="173"/>
      <c r="UV334" s="173"/>
      <c r="UW334" s="173"/>
      <c r="UX334" s="173"/>
      <c r="UY334" s="173"/>
      <c r="UZ334" s="173"/>
      <c r="VA334" s="173"/>
      <c r="VB334" s="173"/>
      <c r="VC334" s="173"/>
      <c r="VD334" s="173"/>
      <c r="VE334" s="173"/>
      <c r="VF334" s="173"/>
      <c r="VG334" s="173"/>
      <c r="VH334" s="173"/>
      <c r="VI334" s="173"/>
      <c r="VJ334" s="173"/>
      <c r="VK334" s="173"/>
      <c r="VL334" s="173"/>
      <c r="VM334" s="173"/>
      <c r="VN334" s="173"/>
      <c r="VO334" s="173"/>
      <c r="VP334" s="173"/>
      <c r="VQ334" s="173"/>
      <c r="VR334" s="173"/>
      <c r="VS334" s="173"/>
      <c r="VT334" s="173"/>
      <c r="VU334" s="173"/>
      <c r="VV334" s="173"/>
      <c r="VW334" s="173"/>
      <c r="VX334" s="173"/>
      <c r="VY334" s="173"/>
      <c r="VZ334" s="173"/>
      <c r="WA334" s="173"/>
      <c r="WB334" s="173"/>
      <c r="WC334" s="173"/>
      <c r="WD334" s="173"/>
      <c r="WE334" s="173"/>
      <c r="WF334" s="173"/>
      <c r="WG334" s="173"/>
      <c r="WH334" s="173"/>
      <c r="WI334" s="173"/>
      <c r="WJ334" s="173"/>
      <c r="WK334" s="173"/>
      <c r="WL334" s="173"/>
      <c r="WM334" s="173"/>
      <c r="WN334" s="173"/>
      <c r="WO334" s="173"/>
      <c r="WP334" s="173"/>
    </row>
    <row r="335" spans="1:614">
      <c r="A335" s="173"/>
      <c r="C335" s="173"/>
      <c r="D335" s="173"/>
      <c r="E335" s="173"/>
      <c r="F335" s="173"/>
      <c r="G335" s="173"/>
      <c r="H335" s="173"/>
      <c r="I335" s="173"/>
      <c r="J335" s="173"/>
      <c r="K335" s="173"/>
      <c r="L335" s="173"/>
      <c r="M335" s="173"/>
      <c r="N335" s="173"/>
      <c r="O335" s="173"/>
      <c r="P335" s="173"/>
      <c r="Q335" s="173"/>
      <c r="R335" s="173"/>
      <c r="S335" s="173"/>
      <c r="T335" s="173"/>
      <c r="U335" s="173"/>
      <c r="V335" s="173"/>
      <c r="W335" s="173"/>
      <c r="X335" s="173"/>
      <c r="Y335" s="173"/>
      <c r="Z335" s="173"/>
      <c r="AA335" s="173"/>
      <c r="AB335" s="173"/>
      <c r="AC335" s="173"/>
      <c r="AD335" s="173"/>
      <c r="AE335" s="173"/>
      <c r="AF335" s="173"/>
      <c r="AG335" s="173"/>
      <c r="AH335" s="173"/>
      <c r="AI335" s="173"/>
      <c r="AJ335" s="173"/>
      <c r="AK335" s="173"/>
      <c r="AL335" s="173"/>
      <c r="AM335" s="173"/>
      <c r="AN335" s="173"/>
      <c r="AO335" s="173"/>
      <c r="AP335" s="173"/>
      <c r="AQ335" s="173"/>
      <c r="AR335" s="173"/>
      <c r="AS335" s="173"/>
      <c r="AT335" s="173"/>
      <c r="AU335" s="173"/>
      <c r="AV335" s="173"/>
      <c r="AW335" s="173"/>
      <c r="AX335" s="173"/>
      <c r="AY335" s="173"/>
      <c r="AZ335" s="173"/>
      <c r="BA335" s="173"/>
      <c r="BB335" s="173"/>
      <c r="BC335" s="173"/>
      <c r="BD335" s="173"/>
      <c r="BE335" s="173"/>
      <c r="BF335" s="173"/>
      <c r="BG335" s="173"/>
      <c r="BH335" s="173"/>
      <c r="BI335" s="173"/>
      <c r="BJ335" s="173"/>
      <c r="BK335" s="173"/>
      <c r="BL335" s="173"/>
      <c r="BM335" s="173"/>
      <c r="BN335" s="173"/>
      <c r="BO335" s="173"/>
      <c r="BP335" s="173"/>
      <c r="BQ335" s="173"/>
      <c r="BR335" s="173"/>
      <c r="BS335" s="173"/>
      <c r="BT335" s="173"/>
      <c r="BU335" s="173"/>
      <c r="BV335" s="173"/>
      <c r="BW335" s="173"/>
      <c r="BX335" s="173"/>
      <c r="BY335" s="173"/>
      <c r="BZ335" s="173"/>
      <c r="CA335" s="173"/>
      <c r="CB335" s="173"/>
      <c r="CC335" s="173"/>
      <c r="CD335" s="173"/>
      <c r="CE335" s="173"/>
      <c r="CF335" s="173"/>
      <c r="CG335" s="173"/>
      <c r="CH335" s="173"/>
      <c r="CI335" s="173"/>
      <c r="CJ335" s="173"/>
      <c r="CK335" s="173"/>
      <c r="CL335" s="173"/>
      <c r="CM335" s="173"/>
      <c r="CN335" s="173"/>
      <c r="CO335" s="173"/>
      <c r="CP335" s="173"/>
      <c r="CQ335" s="173"/>
      <c r="CR335" s="173"/>
      <c r="CS335" s="173"/>
      <c r="CT335" s="173"/>
      <c r="CU335" s="173"/>
      <c r="CV335" s="173"/>
      <c r="CW335" s="173"/>
      <c r="CX335" s="173"/>
      <c r="CY335" s="173"/>
      <c r="CZ335" s="173"/>
      <c r="DA335" s="173"/>
      <c r="DB335" s="173"/>
      <c r="DC335" s="173"/>
      <c r="DD335" s="173"/>
      <c r="DE335" s="173"/>
      <c r="DF335" s="173"/>
      <c r="DG335" s="173"/>
      <c r="DH335" s="173"/>
      <c r="DI335" s="173"/>
      <c r="DJ335" s="173"/>
      <c r="DK335" s="173"/>
      <c r="DL335" s="173"/>
      <c r="DM335" s="173"/>
      <c r="DN335" s="173"/>
      <c r="DO335" s="173"/>
      <c r="DP335" s="173"/>
      <c r="DQ335" s="173"/>
      <c r="DR335" s="173"/>
      <c r="DS335" s="173"/>
      <c r="DT335" s="173"/>
      <c r="DU335" s="173"/>
      <c r="DV335" s="173"/>
      <c r="DW335" s="173"/>
      <c r="DX335" s="173"/>
      <c r="DY335" s="173"/>
      <c r="DZ335" s="173"/>
      <c r="EA335" s="173"/>
      <c r="EB335" s="173"/>
      <c r="EC335" s="173"/>
      <c r="ED335" s="173"/>
      <c r="EE335" s="173"/>
      <c r="EF335" s="173"/>
      <c r="EG335" s="173"/>
      <c r="EH335" s="173"/>
      <c r="EI335" s="173"/>
      <c r="EJ335" s="173"/>
      <c r="EK335" s="173"/>
      <c r="EL335" s="173"/>
      <c r="EM335" s="173"/>
      <c r="EN335" s="173"/>
      <c r="EO335" s="173"/>
      <c r="EP335" s="173"/>
      <c r="EQ335" s="173"/>
      <c r="ER335" s="173"/>
      <c r="ES335" s="173"/>
      <c r="ET335" s="173"/>
      <c r="EU335" s="173"/>
      <c r="EV335" s="173"/>
      <c r="EW335" s="173"/>
      <c r="EX335" s="173"/>
      <c r="EY335" s="173"/>
      <c r="EZ335" s="173"/>
      <c r="FA335" s="173"/>
      <c r="FB335" s="173"/>
      <c r="FC335" s="173"/>
      <c r="FD335" s="173"/>
      <c r="FE335" s="173"/>
      <c r="FF335" s="173"/>
      <c r="FG335" s="173"/>
      <c r="FH335" s="173"/>
      <c r="FI335" s="173"/>
      <c r="FJ335" s="173"/>
      <c r="FK335" s="173"/>
      <c r="FL335" s="173"/>
      <c r="FM335" s="173"/>
      <c r="FN335" s="173"/>
      <c r="FO335" s="173"/>
      <c r="FP335" s="173"/>
      <c r="FQ335" s="173"/>
      <c r="FR335" s="173"/>
      <c r="FS335" s="173"/>
      <c r="FT335" s="173"/>
      <c r="FU335" s="173"/>
      <c r="FV335" s="173"/>
      <c r="FW335" s="173"/>
      <c r="FX335" s="173"/>
      <c r="FY335" s="173"/>
      <c r="FZ335" s="173"/>
      <c r="GA335" s="173"/>
      <c r="GB335" s="173"/>
      <c r="GC335" s="173"/>
      <c r="GD335" s="173"/>
      <c r="GE335" s="173"/>
      <c r="GF335" s="173"/>
      <c r="GG335" s="173"/>
      <c r="GH335" s="173"/>
      <c r="GI335" s="173"/>
      <c r="GJ335" s="173"/>
      <c r="GK335" s="173"/>
      <c r="GL335" s="173"/>
      <c r="GM335" s="173"/>
      <c r="GN335" s="173"/>
      <c r="GO335" s="173"/>
      <c r="GP335" s="173"/>
      <c r="GQ335" s="173"/>
      <c r="GR335" s="173"/>
      <c r="GS335" s="173"/>
      <c r="GT335" s="173"/>
      <c r="GU335" s="173"/>
      <c r="GV335" s="173"/>
      <c r="GW335" s="173"/>
      <c r="GX335" s="173"/>
      <c r="GY335" s="173"/>
      <c r="GZ335" s="173"/>
      <c r="HA335" s="173"/>
      <c r="HB335" s="173"/>
      <c r="HC335" s="173"/>
      <c r="HD335" s="173"/>
      <c r="HE335" s="173"/>
      <c r="HF335" s="173"/>
      <c r="HG335" s="173"/>
      <c r="HH335" s="173"/>
      <c r="HI335" s="173"/>
      <c r="HJ335" s="173"/>
      <c r="HK335" s="173"/>
      <c r="HL335" s="173"/>
      <c r="HM335" s="173"/>
      <c r="HN335" s="173"/>
      <c r="HO335" s="173"/>
      <c r="HP335" s="173"/>
      <c r="HQ335" s="173"/>
      <c r="HR335" s="173"/>
      <c r="HS335" s="173"/>
      <c r="HT335" s="173"/>
      <c r="HU335" s="173"/>
      <c r="HV335" s="173"/>
      <c r="HW335" s="173"/>
      <c r="HX335" s="173"/>
      <c r="HY335" s="173"/>
      <c r="HZ335" s="173"/>
      <c r="IA335" s="173"/>
      <c r="IB335" s="173"/>
      <c r="IC335" s="173"/>
      <c r="ID335" s="173"/>
      <c r="IE335" s="173"/>
      <c r="IF335" s="173"/>
      <c r="IG335" s="173"/>
      <c r="IH335" s="173"/>
      <c r="II335" s="173"/>
      <c r="IJ335" s="173"/>
      <c r="IK335" s="173"/>
      <c r="IL335" s="173"/>
      <c r="IM335" s="173"/>
      <c r="IN335" s="173"/>
      <c r="IO335" s="173"/>
      <c r="IP335" s="173"/>
      <c r="IQ335" s="173"/>
      <c r="IR335" s="173"/>
      <c r="IS335" s="173"/>
      <c r="IT335" s="173"/>
      <c r="IU335" s="173"/>
      <c r="IV335" s="173"/>
      <c r="IW335" s="173"/>
      <c r="IX335" s="173"/>
      <c r="IY335" s="173"/>
      <c r="IZ335" s="173"/>
      <c r="JA335" s="173"/>
      <c r="JB335" s="173"/>
      <c r="JC335" s="173"/>
      <c r="JD335" s="173"/>
      <c r="JE335" s="173"/>
      <c r="JF335" s="173"/>
      <c r="JG335" s="173"/>
      <c r="JH335" s="173"/>
      <c r="JI335" s="173"/>
      <c r="JJ335" s="173"/>
      <c r="JK335" s="173"/>
      <c r="JL335" s="173"/>
      <c r="JM335" s="173"/>
      <c r="JN335" s="173"/>
      <c r="JO335" s="173"/>
      <c r="JP335" s="173"/>
      <c r="JQ335" s="173"/>
      <c r="JR335" s="173"/>
      <c r="JS335" s="173"/>
      <c r="JT335" s="173"/>
      <c r="JU335" s="173"/>
      <c r="JV335" s="173"/>
      <c r="JW335" s="173"/>
      <c r="JX335" s="173"/>
      <c r="JY335" s="173"/>
      <c r="JZ335" s="173"/>
      <c r="KA335" s="173"/>
      <c r="KB335" s="173"/>
      <c r="KC335" s="173"/>
      <c r="KD335" s="173"/>
      <c r="KE335" s="173"/>
      <c r="KF335" s="173"/>
      <c r="KG335" s="173"/>
      <c r="KH335" s="173"/>
      <c r="KI335" s="173"/>
      <c r="KJ335" s="173"/>
      <c r="KK335" s="173"/>
      <c r="KL335" s="173"/>
      <c r="KM335" s="173"/>
      <c r="KN335" s="173"/>
      <c r="KO335" s="173"/>
      <c r="KP335" s="173"/>
      <c r="KQ335" s="173"/>
      <c r="KR335" s="173"/>
      <c r="KS335" s="173"/>
      <c r="KT335" s="173"/>
      <c r="KU335" s="173"/>
      <c r="KV335" s="173"/>
      <c r="KW335" s="173"/>
      <c r="KX335" s="173"/>
      <c r="KY335" s="173"/>
      <c r="KZ335" s="173"/>
      <c r="LA335" s="173"/>
      <c r="LB335" s="173"/>
      <c r="LC335" s="173"/>
      <c r="LD335" s="173"/>
      <c r="LE335" s="173"/>
      <c r="LF335" s="173"/>
      <c r="LG335" s="173"/>
      <c r="LH335" s="173"/>
      <c r="LI335" s="173"/>
      <c r="LJ335" s="173"/>
      <c r="LK335" s="173"/>
      <c r="LL335" s="173"/>
      <c r="LM335" s="173"/>
      <c r="LN335" s="173"/>
      <c r="LO335" s="173"/>
      <c r="LP335" s="173"/>
      <c r="LQ335" s="173"/>
      <c r="LR335" s="173"/>
      <c r="LS335" s="173"/>
      <c r="LT335" s="173"/>
      <c r="LU335" s="173"/>
      <c r="LV335" s="173"/>
      <c r="LW335" s="173"/>
      <c r="LX335" s="173"/>
      <c r="LY335" s="173"/>
      <c r="LZ335" s="173"/>
      <c r="MA335" s="173"/>
      <c r="MB335" s="173"/>
      <c r="MC335" s="173"/>
      <c r="MD335" s="173"/>
      <c r="ME335" s="173"/>
      <c r="MF335" s="173"/>
      <c r="MG335" s="173"/>
      <c r="MH335" s="173"/>
      <c r="MI335" s="173"/>
      <c r="MJ335" s="173"/>
      <c r="MK335" s="173"/>
      <c r="ML335" s="173"/>
      <c r="MM335" s="173"/>
      <c r="MN335" s="173"/>
      <c r="MO335" s="173"/>
      <c r="MP335" s="173"/>
      <c r="MQ335" s="173"/>
      <c r="MR335" s="173"/>
      <c r="MS335" s="173"/>
      <c r="MT335" s="173"/>
      <c r="MU335" s="173"/>
      <c r="MV335" s="173"/>
      <c r="MW335" s="173"/>
      <c r="MX335" s="173"/>
      <c r="MY335" s="173"/>
      <c r="MZ335" s="173"/>
      <c r="NA335" s="173"/>
      <c r="NB335" s="173"/>
      <c r="NC335" s="173"/>
      <c r="ND335" s="173"/>
      <c r="NE335" s="173"/>
      <c r="NF335" s="173"/>
      <c r="NG335" s="173"/>
      <c r="NH335" s="173"/>
      <c r="NI335" s="173"/>
      <c r="NJ335" s="173"/>
      <c r="NK335" s="173"/>
      <c r="NL335" s="173"/>
      <c r="NM335" s="173"/>
      <c r="NN335" s="173"/>
      <c r="NO335" s="173"/>
      <c r="NP335" s="173"/>
      <c r="NQ335" s="173"/>
      <c r="NR335" s="173"/>
      <c r="NS335" s="173"/>
      <c r="NT335" s="173"/>
      <c r="NU335" s="173"/>
      <c r="NV335" s="173"/>
      <c r="NW335" s="173"/>
      <c r="NX335" s="173"/>
      <c r="NY335" s="173"/>
      <c r="NZ335" s="173"/>
      <c r="OA335" s="173"/>
      <c r="OB335" s="173"/>
      <c r="OC335" s="173"/>
      <c r="OD335" s="173"/>
      <c r="OE335" s="173"/>
      <c r="OF335" s="173"/>
      <c r="OG335" s="173"/>
      <c r="OH335" s="173"/>
      <c r="OI335" s="173"/>
      <c r="OJ335" s="173"/>
      <c r="OK335" s="173"/>
      <c r="OL335" s="173"/>
      <c r="OM335" s="173"/>
      <c r="ON335" s="173"/>
      <c r="OO335" s="173"/>
      <c r="OP335" s="173"/>
      <c r="OQ335" s="173"/>
      <c r="OR335" s="173"/>
      <c r="OS335" s="173"/>
      <c r="OT335" s="173"/>
      <c r="OU335" s="173"/>
      <c r="OV335" s="173"/>
      <c r="OW335" s="173"/>
      <c r="OX335" s="173"/>
      <c r="OY335" s="173"/>
      <c r="OZ335" s="173"/>
      <c r="PA335" s="173"/>
      <c r="PB335" s="173"/>
      <c r="PC335" s="173"/>
      <c r="PD335" s="173"/>
      <c r="PE335" s="173"/>
      <c r="PF335" s="173"/>
      <c r="PG335" s="173"/>
      <c r="PH335" s="173"/>
      <c r="PI335" s="173"/>
      <c r="PJ335" s="173"/>
      <c r="PK335" s="173"/>
      <c r="PL335" s="173"/>
      <c r="PM335" s="173"/>
      <c r="PN335" s="173"/>
      <c r="PO335" s="173"/>
      <c r="PP335" s="173"/>
      <c r="PQ335" s="173"/>
      <c r="PR335" s="173"/>
      <c r="PS335" s="173"/>
      <c r="PT335" s="173"/>
      <c r="PU335" s="173"/>
      <c r="PV335" s="173"/>
      <c r="PW335" s="173"/>
      <c r="PX335" s="173"/>
      <c r="PY335" s="173"/>
      <c r="PZ335" s="173"/>
      <c r="QA335" s="173"/>
      <c r="QB335" s="173"/>
      <c r="QC335" s="173"/>
      <c r="QD335" s="173"/>
      <c r="QE335" s="173"/>
      <c r="QF335" s="173"/>
      <c r="QG335" s="173"/>
      <c r="QH335" s="173"/>
      <c r="QI335" s="173"/>
      <c r="QJ335" s="173"/>
      <c r="QK335" s="173"/>
      <c r="QL335" s="173"/>
      <c r="QM335" s="173"/>
      <c r="QN335" s="173"/>
      <c r="QO335" s="173"/>
      <c r="QP335" s="173"/>
      <c r="QQ335" s="173"/>
      <c r="QR335" s="173"/>
      <c r="QS335" s="173"/>
      <c r="QT335" s="173"/>
      <c r="QU335" s="173"/>
      <c r="QV335" s="173"/>
      <c r="QW335" s="173"/>
      <c r="QX335" s="173"/>
      <c r="QY335" s="173"/>
      <c r="QZ335" s="173"/>
      <c r="RA335" s="173"/>
      <c r="RB335" s="173"/>
      <c r="RC335" s="173"/>
      <c r="RD335" s="173"/>
      <c r="RE335" s="173"/>
      <c r="RF335" s="173"/>
      <c r="RG335" s="173"/>
      <c r="RH335" s="173"/>
      <c r="RI335" s="173"/>
      <c r="RJ335" s="173"/>
      <c r="RK335" s="173"/>
      <c r="RL335" s="173"/>
      <c r="RM335" s="173"/>
      <c r="RN335" s="173"/>
      <c r="RO335" s="173"/>
      <c r="RP335" s="173"/>
      <c r="RQ335" s="173"/>
      <c r="RR335" s="173"/>
      <c r="RS335" s="173"/>
      <c r="RT335" s="173"/>
      <c r="RU335" s="173"/>
      <c r="RV335" s="173"/>
      <c r="RW335" s="173"/>
      <c r="RX335" s="173"/>
      <c r="RY335" s="173"/>
      <c r="RZ335" s="173"/>
      <c r="SA335" s="173"/>
      <c r="SB335" s="173"/>
      <c r="SC335" s="173"/>
      <c r="SD335" s="173"/>
      <c r="SE335" s="173"/>
      <c r="SF335" s="173"/>
      <c r="SG335" s="173"/>
      <c r="SH335" s="173"/>
      <c r="SI335" s="173"/>
      <c r="SJ335" s="173"/>
      <c r="SK335" s="173"/>
      <c r="SL335" s="173"/>
      <c r="SM335" s="173"/>
      <c r="SN335" s="173"/>
      <c r="SO335" s="173"/>
      <c r="SP335" s="173"/>
      <c r="SQ335" s="173"/>
      <c r="SR335" s="173"/>
      <c r="SS335" s="173"/>
      <c r="ST335" s="173"/>
      <c r="SU335" s="173"/>
      <c r="SV335" s="173"/>
      <c r="SW335" s="173"/>
      <c r="SX335" s="173"/>
      <c r="SY335" s="173"/>
      <c r="SZ335" s="173"/>
      <c r="TA335" s="173"/>
      <c r="TB335" s="173"/>
      <c r="TC335" s="173"/>
      <c r="TD335" s="173"/>
      <c r="TE335" s="173"/>
      <c r="TF335" s="173"/>
      <c r="TG335" s="173"/>
      <c r="TH335" s="173"/>
      <c r="TI335" s="173"/>
      <c r="TJ335" s="173"/>
      <c r="TK335" s="173"/>
      <c r="TL335" s="173"/>
      <c r="TM335" s="173"/>
      <c r="TN335" s="173"/>
      <c r="TO335" s="173"/>
      <c r="TP335" s="173"/>
      <c r="TQ335" s="173"/>
      <c r="TR335" s="173"/>
      <c r="TS335" s="173"/>
      <c r="TT335" s="173"/>
      <c r="TU335" s="173"/>
      <c r="TV335" s="173"/>
      <c r="TW335" s="173"/>
      <c r="TX335" s="173"/>
      <c r="TY335" s="173"/>
      <c r="TZ335" s="173"/>
      <c r="UA335" s="173"/>
      <c r="UB335" s="173"/>
      <c r="UC335" s="173"/>
      <c r="UD335" s="173"/>
      <c r="UE335" s="173"/>
      <c r="UF335" s="173"/>
      <c r="UG335" s="173"/>
      <c r="UH335" s="173"/>
      <c r="UI335" s="173"/>
      <c r="UJ335" s="173"/>
      <c r="UK335" s="173"/>
      <c r="UL335" s="173"/>
      <c r="UM335" s="173"/>
      <c r="UN335" s="173"/>
      <c r="UO335" s="173"/>
      <c r="UP335" s="173"/>
      <c r="UQ335" s="173"/>
      <c r="UR335" s="173"/>
      <c r="US335" s="173"/>
      <c r="UT335" s="173"/>
      <c r="UU335" s="173"/>
      <c r="UV335" s="173"/>
      <c r="UW335" s="173"/>
      <c r="UX335" s="173"/>
      <c r="UY335" s="173"/>
      <c r="UZ335" s="173"/>
      <c r="VA335" s="173"/>
      <c r="VB335" s="173"/>
      <c r="VC335" s="173"/>
      <c r="VD335" s="173"/>
      <c r="VE335" s="173"/>
      <c r="VF335" s="173"/>
      <c r="VG335" s="173"/>
      <c r="VH335" s="173"/>
      <c r="VI335" s="173"/>
      <c r="VJ335" s="173"/>
      <c r="VK335" s="173"/>
      <c r="VL335" s="173"/>
      <c r="VM335" s="173"/>
      <c r="VN335" s="173"/>
      <c r="VO335" s="173"/>
      <c r="VP335" s="173"/>
      <c r="VQ335" s="173"/>
      <c r="VR335" s="173"/>
      <c r="VS335" s="173"/>
      <c r="VT335" s="173"/>
      <c r="VU335" s="173"/>
      <c r="VV335" s="173"/>
      <c r="VW335" s="173"/>
      <c r="VX335" s="173"/>
      <c r="VY335" s="173"/>
      <c r="VZ335" s="173"/>
      <c r="WA335" s="173"/>
      <c r="WB335" s="173"/>
      <c r="WC335" s="173"/>
      <c r="WD335" s="173"/>
      <c r="WE335" s="173"/>
      <c r="WF335" s="173"/>
      <c r="WG335" s="173"/>
      <c r="WH335" s="173"/>
      <c r="WI335" s="173"/>
      <c r="WJ335" s="173"/>
      <c r="WK335" s="173"/>
      <c r="WL335" s="173"/>
      <c r="WM335" s="173"/>
      <c r="WN335" s="173"/>
      <c r="WO335" s="173"/>
      <c r="WP335" s="173"/>
    </row>
  </sheetData>
  <sheetProtection algorithmName="SHA-512" hashValue="sQtgqG+R0DoSAKwBinlxMI596EgFVfQnRMQqQEGM40frWHoaFRMGsZx+EFQ37hoYwaemWi+QHcBsNsFxini7tA==" saltValue="8zYveWZuoyFeCLEC1LapfQ==" spinCount="100000" sheet="1" objects="1" scenarios="1" selectLockedCells="1"/>
  <sortState ref="B98:C106">
    <sortCondition ref="B206"/>
  </sortState>
  <conditionalFormatting sqref="B29">
    <cfRule type="colorScale" priority="623">
      <colorScale>
        <cfvo type="min"/>
        <cfvo type="max"/>
        <color rgb="FFF8696B"/>
        <color rgb="FFFCFCFF"/>
      </colorScale>
    </cfRule>
  </conditionalFormatting>
  <conditionalFormatting sqref="B29">
    <cfRule type="colorScale" priority="622">
      <colorScale>
        <cfvo type="min"/>
        <cfvo type="percentile" val="50"/>
        <cfvo type="max"/>
        <color rgb="FF63BE7B"/>
        <color rgb="FFFFEB84"/>
        <color rgb="FFF8696B"/>
      </colorScale>
    </cfRule>
  </conditionalFormatting>
  <conditionalFormatting sqref="F193:H193 K303 K193 M192:O192 M303:O303 F303:H303">
    <cfRule type="colorScale" priority="899">
      <colorScale>
        <cfvo type="min"/>
        <cfvo type="max"/>
        <color rgb="FFF8696B"/>
        <color rgb="FFFCFCFF"/>
      </colorScale>
    </cfRule>
  </conditionalFormatting>
  <conditionalFormatting sqref="C29 C193">
    <cfRule type="colorScale" priority="908">
      <colorScale>
        <cfvo type="min"/>
        <cfvo type="max"/>
        <color rgb="FFF8696B"/>
        <color rgb="FFFCFCFF"/>
      </colorScale>
    </cfRule>
  </conditionalFormatting>
  <conditionalFormatting sqref="C29 C193">
    <cfRule type="colorScale" priority="911">
      <colorScale>
        <cfvo type="min"/>
        <cfvo type="percentile" val="50"/>
        <cfvo type="max"/>
        <color rgb="FF63BE7B"/>
        <color rgb="FFFFEB84"/>
        <color rgb="FFF8696B"/>
      </colorScale>
    </cfRule>
  </conditionalFormatting>
  <conditionalFormatting sqref="E29 E193 E21">
    <cfRule type="colorScale" priority="914">
      <colorScale>
        <cfvo type="min"/>
        <cfvo type="max"/>
        <color rgb="FFF8696B"/>
        <color rgb="FFFCFCFF"/>
      </colorScale>
    </cfRule>
  </conditionalFormatting>
  <conditionalFormatting sqref="E29 E193 E21">
    <cfRule type="colorScale" priority="918">
      <colorScale>
        <cfvo type="min"/>
        <cfvo type="percentile" val="50"/>
        <cfvo type="max"/>
        <color rgb="FF63BE7B"/>
        <color rgb="FFFFEB84"/>
        <color rgb="FFF8696B"/>
      </colorScale>
    </cfRule>
  </conditionalFormatting>
  <conditionalFormatting sqref="I303 I193">
    <cfRule type="colorScale" priority="922">
      <colorScale>
        <cfvo type="min"/>
        <cfvo type="percentile" val="50"/>
        <cfvo type="max"/>
        <color rgb="FF63BE7B"/>
        <color rgb="FFFFEB84"/>
        <color rgb="FFF8696B"/>
      </colorScale>
    </cfRule>
  </conditionalFormatting>
  <conditionalFormatting sqref="L303 L193">
    <cfRule type="colorScale" priority="925">
      <colorScale>
        <cfvo type="min"/>
        <cfvo type="percentile" val="50"/>
        <cfvo type="max"/>
        <color rgb="FFF8696B"/>
        <color rgb="FFFCFCFF"/>
        <color rgb="FF63BE7B"/>
      </colorScale>
    </cfRule>
  </conditionalFormatting>
  <conditionalFormatting sqref="J303 J193">
    <cfRule type="colorScale" priority="928">
      <colorScale>
        <cfvo type="min"/>
        <cfvo type="percentile" val="50"/>
        <cfvo type="max"/>
        <color rgb="FFF8696B"/>
        <color rgb="FFFCFCFF"/>
        <color rgb="FF63BE7B"/>
      </colorScale>
    </cfRule>
  </conditionalFormatting>
  <conditionalFormatting sqref="D29 D193">
    <cfRule type="colorScale" priority="931">
      <colorScale>
        <cfvo type="min"/>
        <cfvo type="percentile" val="50"/>
        <cfvo type="max"/>
        <color rgb="FFF8696B"/>
        <color rgb="FFFCFCFF"/>
        <color rgb="FF63BE7B"/>
      </colorScale>
    </cfRule>
  </conditionalFormatting>
  <conditionalFormatting sqref="C23:C28">
    <cfRule type="colorScale" priority="2677">
      <colorScale>
        <cfvo type="min"/>
        <cfvo type="percentile" val="50"/>
        <cfvo type="max"/>
        <color rgb="FFF8696B"/>
        <color rgb="FFFCFCFF"/>
        <color rgb="FF63BE7B"/>
      </colorScale>
    </cfRule>
  </conditionalFormatting>
  <conditionalFormatting sqref="D23:D28">
    <cfRule type="colorScale" priority="2678">
      <colorScale>
        <cfvo type="min"/>
        <cfvo type="percentile" val="50"/>
        <cfvo type="max"/>
        <color rgb="FFF8696B"/>
        <color rgb="FFFCFCFF"/>
        <color rgb="FF63BE7B"/>
      </colorScale>
    </cfRule>
  </conditionalFormatting>
  <conditionalFormatting sqref="E23:E28">
    <cfRule type="colorScale" priority="2679">
      <colorScale>
        <cfvo type="min"/>
        <cfvo type="percentile" val="50"/>
        <cfvo type="max"/>
        <color rgb="FFF8696B"/>
        <color rgb="FFFCFCFF"/>
        <color rgb="FF63BE7B"/>
      </colorScale>
    </cfRule>
  </conditionalFormatting>
  <conditionalFormatting sqref="C31:E36">
    <cfRule type="colorScale" priority="2695">
      <colorScale>
        <cfvo type="min"/>
        <cfvo type="max"/>
        <color rgb="FFF8696B"/>
        <color rgb="FFFCFCFF"/>
      </colorScale>
    </cfRule>
  </conditionalFormatting>
  <conditionalFormatting sqref="I51:J56">
    <cfRule type="colorScale" priority="2730">
      <colorScale>
        <cfvo type="min"/>
        <cfvo type="percentile" val="50"/>
        <cfvo type="max"/>
        <color theme="0"/>
        <color rgb="FFFCFCFF"/>
        <color rgb="FFFF0000"/>
      </colorScale>
    </cfRule>
  </conditionalFormatting>
  <conditionalFormatting sqref="I51:J56">
    <cfRule type="colorScale" priority="2731">
      <colorScale>
        <cfvo type="min"/>
        <cfvo type="max"/>
        <color theme="0"/>
        <color rgb="FFEC4C56"/>
      </colorScale>
    </cfRule>
  </conditionalFormatting>
  <conditionalFormatting sqref="K51:O56">
    <cfRule type="colorScale" priority="2732">
      <colorScale>
        <cfvo type="min"/>
        <cfvo type="percentile" val="50"/>
        <cfvo type="max"/>
        <color rgb="FF63BE7B"/>
        <color rgb="FFFCFCFF"/>
        <color rgb="FFF8696B"/>
      </colorScale>
    </cfRule>
    <cfRule type="colorScale" priority="2733">
      <colorScale>
        <cfvo type="min"/>
        <cfvo type="max"/>
        <color theme="0"/>
        <color rgb="FFFF0000"/>
      </colorScale>
    </cfRule>
  </conditionalFormatting>
  <conditionalFormatting sqref="C51:H56">
    <cfRule type="colorScale" priority="4">
      <colorScale>
        <cfvo type="min"/>
        <cfvo type="percentile" val="50"/>
        <cfvo type="max"/>
        <color rgb="FFF8696B"/>
        <color rgb="FFFCFCFF"/>
        <color rgb="FF63BE7B"/>
      </colorScale>
    </cfRule>
    <cfRule type="colorScale" priority="2735">
      <colorScale>
        <cfvo type="min"/>
        <cfvo type="max"/>
        <color theme="0"/>
        <color rgb="FFFF0000"/>
      </colorScale>
    </cfRule>
  </conditionalFormatting>
  <conditionalFormatting sqref="C60:E65 I60:J65 L60:L65">
    <cfRule type="colorScale" priority="2751">
      <colorScale>
        <cfvo type="min"/>
        <cfvo type="percentile" val="50"/>
        <cfvo type="max"/>
        <color rgb="FF63BE7B"/>
        <color rgb="FFFCFCFF"/>
        <color rgb="FFF8696B"/>
      </colorScale>
    </cfRule>
    <cfRule type="colorScale" priority="2752">
      <colorScale>
        <cfvo type="min"/>
        <cfvo type="max"/>
        <color theme="0"/>
        <color rgb="FFFF0000"/>
      </colorScale>
    </cfRule>
  </conditionalFormatting>
  <conditionalFormatting sqref="F60:H65">
    <cfRule type="colorScale" priority="2757">
      <colorScale>
        <cfvo type="min"/>
        <cfvo type="percentile" val="50"/>
        <cfvo type="max"/>
        <color theme="0"/>
        <color rgb="FFFCFCFF"/>
        <color rgb="FFFF0000"/>
      </colorScale>
    </cfRule>
  </conditionalFormatting>
  <conditionalFormatting sqref="F60:H65">
    <cfRule type="colorScale" priority="2758">
      <colorScale>
        <cfvo type="min"/>
        <cfvo type="max"/>
        <color theme="0"/>
        <color rgb="FFEC4C56"/>
      </colorScale>
    </cfRule>
  </conditionalFormatting>
  <conditionalFormatting sqref="K60:K65">
    <cfRule type="colorScale" priority="2759">
      <colorScale>
        <cfvo type="min"/>
        <cfvo type="percentile" val="50"/>
        <cfvo type="max"/>
        <color theme="0"/>
        <color rgb="FFFCFCFF"/>
        <color rgb="FFFF0000"/>
      </colorScale>
    </cfRule>
  </conditionalFormatting>
  <conditionalFormatting sqref="K60:K65">
    <cfRule type="colorScale" priority="2760">
      <colorScale>
        <cfvo type="min"/>
        <cfvo type="max"/>
        <color theme="0"/>
        <color rgb="FFEC4C56"/>
      </colorScale>
    </cfRule>
  </conditionalFormatting>
  <conditionalFormatting sqref="M60:O65">
    <cfRule type="colorScale" priority="2761">
      <colorScale>
        <cfvo type="min"/>
        <cfvo type="percentile" val="50"/>
        <cfvo type="max"/>
        <color theme="0"/>
        <color rgb="FFFCFCFF"/>
        <color rgb="FFFF0000"/>
      </colorScale>
    </cfRule>
  </conditionalFormatting>
  <conditionalFormatting sqref="M60:O65">
    <cfRule type="colorScale" priority="2762">
      <colorScale>
        <cfvo type="min"/>
        <cfvo type="max"/>
        <color theme="0"/>
        <color rgb="FFEC4C56"/>
      </colorScale>
    </cfRule>
  </conditionalFormatting>
  <conditionalFormatting sqref="D150:D155">
    <cfRule type="colorScale" priority="2779">
      <colorScale>
        <cfvo type="min"/>
        <cfvo type="percentile" val="50"/>
        <cfvo type="max"/>
        <color rgb="FFF8696B"/>
        <color rgb="FFFCFCFF"/>
        <color rgb="FF63BE7B"/>
      </colorScale>
    </cfRule>
  </conditionalFormatting>
  <conditionalFormatting sqref="E150:E155">
    <cfRule type="colorScale" priority="2780">
      <colorScale>
        <cfvo type="min"/>
        <cfvo type="percentile" val="50"/>
        <cfvo type="max"/>
        <color rgb="FFF8696B"/>
        <color rgb="FFFCFCFF"/>
        <color rgb="FF63BE7B"/>
      </colorScale>
    </cfRule>
  </conditionalFormatting>
  <conditionalFormatting sqref="I284:I289">
    <cfRule type="colorScale" priority="2809">
      <colorScale>
        <cfvo type="min"/>
        <cfvo type="max"/>
        <color rgb="FFF8696B"/>
        <color rgb="FFFCFCFF"/>
      </colorScale>
    </cfRule>
  </conditionalFormatting>
  <conditionalFormatting sqref="E306:E311">
    <cfRule type="colorScale" priority="73">
      <colorScale>
        <cfvo type="min"/>
        <cfvo type="max"/>
        <color rgb="FFF8696B"/>
        <color rgb="FFFCFCFF"/>
      </colorScale>
    </cfRule>
  </conditionalFormatting>
  <conditionalFormatting sqref="E306:E311">
    <cfRule type="colorScale" priority="74">
      <colorScale>
        <cfvo type="min"/>
        <cfvo type="max"/>
        <color rgb="FFF8696B"/>
        <color rgb="FFFCFCFF"/>
      </colorScale>
    </cfRule>
  </conditionalFormatting>
  <conditionalFormatting sqref="C13:C18">
    <cfRule type="colorScale" priority="72">
      <colorScale>
        <cfvo type="min"/>
        <cfvo type="percentile" val="50"/>
        <cfvo type="max"/>
        <color rgb="FFF8696B"/>
        <color rgb="FFFCFCFF"/>
        <color rgb="FF63BE7B"/>
      </colorScale>
    </cfRule>
  </conditionalFormatting>
  <conditionalFormatting sqref="D13:D18">
    <cfRule type="colorScale" priority="71">
      <colorScale>
        <cfvo type="min"/>
        <cfvo type="percentile" val="50"/>
        <cfvo type="max"/>
        <color rgb="FFF8696B"/>
        <color rgb="FFFCFCFF"/>
        <color rgb="FF63BE7B"/>
      </colorScale>
    </cfRule>
  </conditionalFormatting>
  <conditionalFormatting sqref="E13:E18">
    <cfRule type="colorScale" priority="70">
      <colorScale>
        <cfvo type="min"/>
        <cfvo type="percentile" val="50"/>
        <cfvo type="max"/>
        <color rgb="FFF8696B"/>
        <color rgb="FFFCFCFF"/>
        <color rgb="FF63BE7B"/>
      </colorScale>
    </cfRule>
  </conditionalFormatting>
  <conditionalFormatting sqref="P51:P56">
    <cfRule type="colorScale" priority="66">
      <colorScale>
        <cfvo type="min"/>
        <cfvo type="percentile" val="50"/>
        <cfvo type="max"/>
        <color rgb="FF63BE7B"/>
        <color rgb="FFFCFCFF"/>
        <color rgb="FFF8696B"/>
      </colorScale>
    </cfRule>
    <cfRule type="colorScale" priority="67">
      <colorScale>
        <cfvo type="min"/>
        <cfvo type="max"/>
        <color theme="0"/>
        <color rgb="FFFF0000"/>
      </colorScale>
    </cfRule>
  </conditionalFormatting>
  <conditionalFormatting sqref="P60:P65">
    <cfRule type="colorScale" priority="64">
      <colorScale>
        <cfvo type="min"/>
        <cfvo type="percentile" val="50"/>
        <cfvo type="max"/>
        <color rgb="FF63BE7B"/>
        <color rgb="FFFCFCFF"/>
        <color rgb="FFF8696B"/>
      </colorScale>
    </cfRule>
    <cfRule type="colorScale" priority="65">
      <colorScale>
        <cfvo type="min"/>
        <cfvo type="max"/>
        <color theme="0"/>
        <color rgb="FFFF0000"/>
      </colorScale>
    </cfRule>
  </conditionalFormatting>
  <conditionalFormatting sqref="C294:C299">
    <cfRule type="colorScale" priority="59">
      <colorScale>
        <cfvo type="min"/>
        <cfvo type="max"/>
        <color rgb="FFF8696B"/>
        <color rgb="FFFCFCFF"/>
      </colorScale>
    </cfRule>
  </conditionalFormatting>
  <conditionalFormatting sqref="D294:D299">
    <cfRule type="colorScale" priority="60">
      <colorScale>
        <cfvo type="min"/>
        <cfvo type="max"/>
        <color rgb="FFF8696B"/>
        <color rgb="FFFCFCFF"/>
      </colorScale>
    </cfRule>
  </conditionalFormatting>
  <conditionalFormatting sqref="E294:E299">
    <cfRule type="colorScale" priority="61">
      <colorScale>
        <cfvo type="min"/>
        <cfvo type="max"/>
        <color rgb="FFF8696B"/>
        <color rgb="FFFCFCFF"/>
      </colorScale>
    </cfRule>
  </conditionalFormatting>
  <conditionalFormatting sqref="F294:F299">
    <cfRule type="colorScale" priority="62">
      <colorScale>
        <cfvo type="min"/>
        <cfvo type="max"/>
        <color rgb="FFF8696B"/>
        <color rgb="FFFCFCFF"/>
      </colorScale>
    </cfRule>
  </conditionalFormatting>
  <conditionalFormatting sqref="D316:D321">
    <cfRule type="colorScale" priority="63">
      <colorScale>
        <cfvo type="min"/>
        <cfvo type="percentile" val="50"/>
        <cfvo type="max"/>
        <color rgb="FFF8696B"/>
        <color rgb="FFFCFCFF"/>
        <color rgb="FF63BE7B"/>
      </colorScale>
    </cfRule>
  </conditionalFormatting>
  <conditionalFormatting sqref="F306:F311">
    <cfRule type="colorScale" priority="2827">
      <colorScale>
        <cfvo type="min"/>
        <cfvo type="percentile" val="50"/>
        <cfvo type="max"/>
        <color rgb="FFF8696B"/>
        <color rgb="FFFCFCFF"/>
        <color rgb="FF63BE7B"/>
      </colorScale>
    </cfRule>
  </conditionalFormatting>
  <conditionalFormatting sqref="C41:C46">
    <cfRule type="colorScale" priority="57">
      <colorScale>
        <cfvo type="percent" val="0"/>
        <cfvo type="percent" val="100"/>
        <color rgb="FFFCFCFF"/>
        <color rgb="FFF8696B"/>
      </colorScale>
    </cfRule>
  </conditionalFormatting>
  <conditionalFormatting sqref="D41:D46">
    <cfRule type="colorScale" priority="56">
      <colorScale>
        <cfvo type="percent" val="0"/>
        <cfvo type="percent" val="100"/>
        <color rgb="FFFCFCFF"/>
        <color rgb="FFF8696B"/>
      </colorScale>
    </cfRule>
  </conditionalFormatting>
  <conditionalFormatting sqref="E41:E46">
    <cfRule type="colorScale" priority="55">
      <colorScale>
        <cfvo type="percent" val="0"/>
        <cfvo type="percent" val="100"/>
        <color rgb="FFFCFCFF"/>
        <color rgb="FFF8696B"/>
      </colorScale>
    </cfRule>
  </conditionalFormatting>
  <conditionalFormatting sqref="F41:F46">
    <cfRule type="colorScale" priority="54">
      <colorScale>
        <cfvo type="percent" val="0"/>
        <cfvo type="percent" val="100"/>
        <color rgb="FFFCFCFF"/>
        <color rgb="FFF8696B"/>
      </colorScale>
    </cfRule>
  </conditionalFormatting>
  <conditionalFormatting sqref="G41:G46">
    <cfRule type="colorScale" priority="53">
      <colorScale>
        <cfvo type="percent" val="0"/>
        <cfvo type="percent" val="100"/>
        <color rgb="FFFCFCFF"/>
        <color rgb="FFF8696B"/>
      </colorScale>
    </cfRule>
  </conditionalFormatting>
  <conditionalFormatting sqref="H41:H46">
    <cfRule type="colorScale" priority="52">
      <colorScale>
        <cfvo type="percent" val="0"/>
        <cfvo type="percent" val="100"/>
        <color rgb="FFFCFCFF"/>
        <color rgb="FFF8696B"/>
      </colorScale>
    </cfRule>
  </conditionalFormatting>
  <conditionalFormatting sqref="I41:I46">
    <cfRule type="colorScale" priority="51">
      <colorScale>
        <cfvo type="percent" val="0"/>
        <cfvo type="percent" val="100"/>
        <color rgb="FFFCFCFF"/>
        <color rgb="FFF8696B"/>
      </colorScale>
    </cfRule>
  </conditionalFormatting>
  <conditionalFormatting sqref="J41:J46">
    <cfRule type="colorScale" priority="50">
      <colorScale>
        <cfvo type="percent" val="0"/>
        <cfvo type="percent" val="100"/>
        <color rgb="FFFCFCFF"/>
        <color rgb="FFF8696B"/>
      </colorScale>
    </cfRule>
  </conditionalFormatting>
  <conditionalFormatting sqref="K41:K46">
    <cfRule type="colorScale" priority="49">
      <colorScale>
        <cfvo type="percent" val="0"/>
        <cfvo type="percent" val="100"/>
        <color rgb="FFFCFCFF"/>
        <color rgb="FFF8696B"/>
      </colorScale>
    </cfRule>
  </conditionalFormatting>
  <conditionalFormatting sqref="L41:L46">
    <cfRule type="colorScale" priority="48">
      <colorScale>
        <cfvo type="percent" val="0"/>
        <cfvo type="percent" val="100"/>
        <color rgb="FFFCFCFF"/>
        <color rgb="FFF8696B"/>
      </colorScale>
    </cfRule>
  </conditionalFormatting>
  <conditionalFormatting sqref="M41:M46">
    <cfRule type="colorScale" priority="47">
      <colorScale>
        <cfvo type="percent" val="0"/>
        <cfvo type="percent" val="100"/>
        <color rgb="FFFCFCFF"/>
        <color rgb="FFF8696B"/>
      </colorScale>
    </cfRule>
  </conditionalFormatting>
  <conditionalFormatting sqref="N41:N46">
    <cfRule type="colorScale" priority="46">
      <colorScale>
        <cfvo type="percent" val="0"/>
        <cfvo type="percent" val="100"/>
        <color rgb="FFFCFCFF"/>
        <color rgb="FFF8696B"/>
      </colorScale>
    </cfRule>
  </conditionalFormatting>
  <conditionalFormatting sqref="O41:O46">
    <cfRule type="colorScale" priority="45">
      <colorScale>
        <cfvo type="percent" val="0"/>
        <cfvo type="percent" val="100"/>
        <color rgb="FFFCFCFF"/>
        <color rgb="FFF8696B"/>
      </colorScale>
    </cfRule>
  </conditionalFormatting>
  <conditionalFormatting sqref="P41:P46">
    <cfRule type="colorScale" priority="44">
      <colorScale>
        <cfvo type="percent" val="0"/>
        <cfvo type="percent" val="100"/>
        <color rgb="FFFCFCFF"/>
        <color rgb="FFF8696B"/>
      </colorScale>
    </cfRule>
  </conditionalFormatting>
  <conditionalFormatting sqref="C3:C8">
    <cfRule type="colorScale" priority="29">
      <colorScale>
        <cfvo type="min"/>
        <cfvo type="percentile" val="50"/>
        <cfvo type="max"/>
        <color rgb="FFF8696B"/>
        <color rgb="FFFCFCFF"/>
        <color rgb="FF63BE7B"/>
      </colorScale>
    </cfRule>
  </conditionalFormatting>
  <conditionalFormatting sqref="D3:D8">
    <cfRule type="colorScale" priority="28">
      <colorScale>
        <cfvo type="min"/>
        <cfvo type="percentile" val="50"/>
        <cfvo type="max"/>
        <color rgb="FFF8696B"/>
        <color rgb="FFFCFCFF"/>
        <color rgb="FF63BE7B"/>
      </colorScale>
    </cfRule>
  </conditionalFormatting>
  <conditionalFormatting sqref="E3:E8">
    <cfRule type="colorScale" priority="27">
      <colorScale>
        <cfvo type="min"/>
        <cfvo type="percentile" val="50"/>
        <cfvo type="max"/>
        <color rgb="FFF8696B"/>
        <color rgb="FFFCFCFF"/>
        <color rgb="FF63BE7B"/>
      </colorScale>
    </cfRule>
  </conditionalFormatting>
  <conditionalFormatting sqref="F3:F8">
    <cfRule type="colorScale" priority="26">
      <colorScale>
        <cfvo type="min"/>
        <cfvo type="percentile" val="50"/>
        <cfvo type="max"/>
        <color rgb="FFF8696B"/>
        <color rgb="FFFCFCFF"/>
        <color rgb="FF63BE7B"/>
      </colorScale>
    </cfRule>
  </conditionalFormatting>
  <conditionalFormatting sqref="G3:G8">
    <cfRule type="colorScale" priority="25">
      <colorScale>
        <cfvo type="min"/>
        <cfvo type="percentile" val="50"/>
        <cfvo type="max"/>
        <color rgb="FFF8696B"/>
        <color rgb="FFFCFCFF"/>
        <color rgb="FF63BE7B"/>
      </colorScale>
    </cfRule>
  </conditionalFormatting>
  <conditionalFormatting sqref="H3:H8">
    <cfRule type="colorScale" priority="24">
      <colorScale>
        <cfvo type="min"/>
        <cfvo type="percentile" val="50"/>
        <cfvo type="max"/>
        <color rgb="FFF8696B"/>
        <color rgb="FFFCFCFF"/>
        <color rgb="FF63BE7B"/>
      </colorScale>
    </cfRule>
  </conditionalFormatting>
  <conditionalFormatting sqref="I3:I8">
    <cfRule type="colorScale" priority="23">
      <colorScale>
        <cfvo type="min"/>
        <cfvo type="percentile" val="50"/>
        <cfvo type="max"/>
        <color rgb="FFF8696B"/>
        <color rgb="FFFCFCFF"/>
        <color rgb="FF63BE7B"/>
      </colorScale>
    </cfRule>
  </conditionalFormatting>
  <conditionalFormatting sqref="J3:J8">
    <cfRule type="colorScale" priority="22">
      <colorScale>
        <cfvo type="min"/>
        <cfvo type="percentile" val="50"/>
        <cfvo type="max"/>
        <color rgb="FFF8696B"/>
        <color rgb="FFFCFCFF"/>
        <color rgb="FF63BE7B"/>
      </colorScale>
    </cfRule>
  </conditionalFormatting>
  <conditionalFormatting sqref="K3:K8">
    <cfRule type="colorScale" priority="21">
      <colorScale>
        <cfvo type="min"/>
        <cfvo type="percentile" val="50"/>
        <cfvo type="max"/>
        <color rgb="FFF8696B"/>
        <color rgb="FFFCFCFF"/>
        <color rgb="FF63BE7B"/>
      </colorScale>
    </cfRule>
  </conditionalFormatting>
  <conditionalFormatting sqref="L3:L8">
    <cfRule type="colorScale" priority="20">
      <colorScale>
        <cfvo type="min"/>
        <cfvo type="percentile" val="50"/>
        <cfvo type="max"/>
        <color rgb="FFF8696B"/>
        <color rgb="FFFCFCFF"/>
        <color rgb="FF63BE7B"/>
      </colorScale>
    </cfRule>
  </conditionalFormatting>
  <conditionalFormatting sqref="M3:M8">
    <cfRule type="colorScale" priority="19">
      <colorScale>
        <cfvo type="min"/>
        <cfvo type="percentile" val="50"/>
        <cfvo type="max"/>
        <color rgb="FFF8696B"/>
        <color rgb="FFFCFCFF"/>
        <color rgb="FF63BE7B"/>
      </colorScale>
    </cfRule>
  </conditionalFormatting>
  <conditionalFormatting sqref="N3:N8">
    <cfRule type="colorScale" priority="18">
      <colorScale>
        <cfvo type="min"/>
        <cfvo type="percentile" val="50"/>
        <cfvo type="max"/>
        <color rgb="FFF8696B"/>
        <color rgb="FFFCFCFF"/>
        <color rgb="FF63BE7B"/>
      </colorScale>
    </cfRule>
  </conditionalFormatting>
  <conditionalFormatting sqref="C159:C164">
    <cfRule type="colorScale" priority="12">
      <colorScale>
        <cfvo type="min"/>
        <cfvo type="percentile" val="50"/>
        <cfvo type="max"/>
        <color rgb="FFF8696B"/>
        <color rgb="FFFCFCFF"/>
        <color rgb="FF63BE7B"/>
      </colorScale>
    </cfRule>
  </conditionalFormatting>
  <conditionalFormatting sqref="D158:D164">
    <cfRule type="colorScale" priority="11">
      <colorScale>
        <cfvo type="min"/>
        <cfvo type="percentile" val="50"/>
        <cfvo type="max"/>
        <color rgb="FFF8696B"/>
        <color rgb="FFFCFCFF"/>
        <color rgb="FF63BE7B"/>
      </colorScale>
    </cfRule>
  </conditionalFormatting>
  <conditionalFormatting sqref="E159:E164">
    <cfRule type="colorScale" priority="10">
      <colorScale>
        <cfvo type="min"/>
        <cfvo type="percentile" val="50"/>
        <cfvo type="max"/>
        <color rgb="FFF8696B"/>
        <color rgb="FFFCFCFF"/>
        <color rgb="FF63BE7B"/>
      </colorScale>
    </cfRule>
  </conditionalFormatting>
  <conditionalFormatting sqref="F159:F164">
    <cfRule type="colorScale" priority="9">
      <colorScale>
        <cfvo type="min"/>
        <cfvo type="percentile" val="50"/>
        <cfvo type="max"/>
        <color rgb="FFF8696B"/>
        <color rgb="FFFCFCFF"/>
        <color rgb="FF63BE7B"/>
      </colorScale>
    </cfRule>
  </conditionalFormatting>
  <conditionalFormatting sqref="G159:G164">
    <cfRule type="colorScale" priority="8">
      <colorScale>
        <cfvo type="min"/>
        <cfvo type="percentile" val="50"/>
        <cfvo type="max"/>
        <color rgb="FFF8696B"/>
        <color rgb="FFFCFCFF"/>
        <color rgb="FF63BE7B"/>
      </colorScale>
    </cfRule>
  </conditionalFormatting>
  <conditionalFormatting sqref="C150:C155">
    <cfRule type="colorScale" priority="7">
      <colorScale>
        <cfvo type="min"/>
        <cfvo type="percentile" val="50"/>
        <cfvo type="max"/>
        <color rgb="FFF8696B"/>
        <color rgb="FFFCFCFF"/>
        <color rgb="FF63BE7B"/>
      </colorScale>
    </cfRule>
  </conditionalFormatting>
  <conditionalFormatting sqref="C41:P46">
    <cfRule type="colorScale" priority="6">
      <colorScale>
        <cfvo type="min"/>
        <cfvo type="percentile" val="50"/>
        <cfvo type="max"/>
        <color rgb="FFF8696B"/>
        <color rgb="FFFCFCFF"/>
        <color rgb="FF63BE7B"/>
      </colorScale>
    </cfRule>
  </conditionalFormatting>
  <conditionalFormatting sqref="K51:P56">
    <cfRule type="colorScale" priority="5">
      <colorScale>
        <cfvo type="min"/>
        <cfvo type="percentile" val="50"/>
        <cfvo type="max"/>
        <color rgb="FFF8696B"/>
        <color rgb="FFFCFCFF"/>
        <color rgb="FF63BE7B"/>
      </colorScale>
    </cfRule>
  </conditionalFormatting>
  <conditionalFormatting sqref="L60:L65">
    <cfRule type="colorScale" priority="3">
      <colorScale>
        <cfvo type="min"/>
        <cfvo type="percentile" val="50"/>
        <cfvo type="max"/>
        <color rgb="FFF8696B"/>
        <color rgb="FFFCFCFF"/>
        <color rgb="FF63BE7B"/>
      </colorScale>
    </cfRule>
  </conditionalFormatting>
  <conditionalFormatting sqref="I60:J65">
    <cfRule type="colorScale" priority="2">
      <colorScale>
        <cfvo type="min"/>
        <cfvo type="percentile" val="50"/>
        <cfvo type="max"/>
        <color rgb="FFF8696B"/>
        <color rgb="FFFCFCFF"/>
        <color rgb="FF63BE7B"/>
      </colorScale>
    </cfRule>
  </conditionalFormatting>
  <conditionalFormatting sqref="C60:E65">
    <cfRule type="colorScale" priority="1">
      <colorScale>
        <cfvo type="min"/>
        <cfvo type="percentile" val="50"/>
        <cfvo type="max"/>
        <color rgb="FFF8696B"/>
        <color rgb="FFFCFCFF"/>
        <color rgb="FF63BE7B"/>
      </colorScale>
    </cfRule>
  </conditionalFormatting>
  <pageMargins left="0.75" right="0.75" top="1" bottom="1" header="0.5" footer="0.5"/>
  <pageSetup orientation="portrait" horizontalDpi="4294967292" verticalDpi="4294967292" r:id="rId1"/>
  <ignoredErrors>
    <ignoredError sqref="C23:D24" emptyCellReference="1"/>
  </ignoredErrors>
  <drawing r:id="rId2"/>
  <tableParts count="15">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3"/>
  <sheetViews>
    <sheetView showGridLines="0" zoomScaleNormal="100" workbookViewId="0">
      <selection activeCell="F49" sqref="F49"/>
    </sheetView>
  </sheetViews>
  <sheetFormatPr defaultColWidth="12.7109375" defaultRowHeight="12"/>
  <cols>
    <col min="1" max="1" width="12.140625" style="133" bestFit="1" customWidth="1"/>
    <col min="2" max="2" width="27" style="211" bestFit="1" customWidth="1"/>
    <col min="3" max="3" width="49.140625" style="143" bestFit="1" customWidth="1"/>
    <col min="4" max="4" width="62.140625" style="143" bestFit="1" customWidth="1"/>
    <col min="5" max="5" width="45.85546875" style="143" bestFit="1" customWidth="1"/>
    <col min="6" max="6" width="49" style="143" bestFit="1" customWidth="1"/>
    <col min="7" max="7" width="42.42578125" style="143" bestFit="1" customWidth="1"/>
    <col min="8" max="8" width="31.7109375" style="143" bestFit="1" customWidth="1"/>
    <col min="9" max="9" width="12.28515625" style="143" bestFit="1" customWidth="1"/>
    <col min="10" max="10" width="32.85546875" style="133" customWidth="1"/>
    <col min="11" max="11" width="12.7109375" style="133"/>
    <col min="12" max="12" width="26.42578125" style="133" bestFit="1" customWidth="1"/>
    <col min="13" max="16384" width="12.7109375" style="133"/>
  </cols>
  <sheetData>
    <row r="1" spans="1:9">
      <c r="B1" s="132" t="s">
        <v>432</v>
      </c>
    </row>
    <row r="2" spans="1:9" ht="12.75" thickBot="1">
      <c r="A2" s="139" t="s">
        <v>425</v>
      </c>
      <c r="B2" s="182" t="s">
        <v>74</v>
      </c>
      <c r="C2" s="183" t="s">
        <v>465</v>
      </c>
      <c r="D2" s="183" t="s">
        <v>495</v>
      </c>
      <c r="E2" s="183" t="s">
        <v>144</v>
      </c>
      <c r="F2" s="183" t="s">
        <v>153</v>
      </c>
      <c r="G2" s="183" t="s">
        <v>458</v>
      </c>
      <c r="H2" s="183" t="s">
        <v>457</v>
      </c>
      <c r="I2" s="184" t="s">
        <v>422</v>
      </c>
    </row>
    <row r="3" spans="1:9">
      <c r="B3" s="133" t="str">
        <f>Comb_scrd[[#Headers],[Cisco FirePOWER 8350]]</f>
        <v>Cisco FirePOWER 8350</v>
      </c>
      <c r="C3" s="185">
        <f>HLOOKUP(TCO_calc_table1[[#This Row],[Product]],Inputs_table5[#All],2,FALSE)*Inputs_table1[NGIPS]+HLOOKUP(TCO_calc_table1[[#This Row],[Product]],Inputs_table5[#All],3,FALSE)*Inputs_table1[Central Management]</f>
        <v>4858595</v>
      </c>
      <c r="D3" s="185">
        <f>HLOOKUP(TCO_calc_table1[[#This Row],[Product]],Inputs_table5[#All],4,FALSE)*Inputs_table1[NGIPS]+HLOOKUP(TCO_calc_table1[[#This Row],[Product]],Inputs_table5[#All],5,FALSE)*Inputs_table1[Central Management]+HLOOKUP(TCO_calc_table1[[#This Row],[Product]],Inputs_table5[#All],6,FALSE)*Inputs_table1[NGIPS]</f>
        <v>389532.33333333337</v>
      </c>
      <c r="E3" s="185">
        <f>TCO_calc_table1[[#This Row],[Purchase Price]]+TCO_calc_table1[[#This Row],[Maintenance per Year]]</f>
        <v>5248127.333333333</v>
      </c>
      <c r="F3" s="185">
        <f>HLOOKUP(TCO_calc_table1[[#This Row],[Product]],Calc_cost_per_dev2[#All],2,FALSE)*Inputs_table1[NGIPS]+HLOOKUP(TCO_calc_table1[[#This Row],[Product]],Calc_cost_centm_table2[#All],2,FALSE)</f>
        <v>12000</v>
      </c>
      <c r="G3" s="185">
        <f>HLOOKUP(TCO_calc_table1[Product],Calc_results_table5[#All],2,FALSE)</f>
        <v>5260127.3333333321</v>
      </c>
      <c r="H3" s="185">
        <f>HLOOKUP(TCO_calc_table1[Product],Calc_results_table5[#All],3,FALSE)</f>
        <v>5649659.6666666651</v>
      </c>
      <c r="I3" s="185">
        <f>HLOOKUP(TCO_calc_table1[Product],Calc_results_table5[#All],4,FALSE)</f>
        <v>6039191.9999999981</v>
      </c>
    </row>
    <row r="4" spans="1:9">
      <c r="B4" s="133" t="str">
        <f>Comb_scrd[[#Headers],[Fortinet FortiGate-1500D]]</f>
        <v>Fortinet FortiGate-1500D</v>
      </c>
      <c r="C4" s="185">
        <f>HLOOKUP(TCO_calc_table1[[#This Row],[Product]],Inputs_table5[#All],2,FALSE)*Inputs_table1[NGIPS]+HLOOKUP(TCO_calc_table1[[#This Row],[Product]],Inputs_table5[#All],3,FALSE)*Inputs_table1[Central Management]</f>
        <v>506958</v>
      </c>
      <c r="D4" s="185">
        <f>HLOOKUP(TCO_calc_table1[[#This Row],[Product]],Inputs_table5[#All],4,FALSE)*Inputs_table1[NGIPS]+HLOOKUP(TCO_calc_table1[[#This Row],[Product]],Inputs_table5[#All],5,FALSE)*Inputs_table1[Central Management]+HLOOKUP(TCO_calc_table1[[#This Row],[Product]],Inputs_table5[#All],6,FALSE)*Inputs_table1[NGIPS]</f>
        <v>210911</v>
      </c>
      <c r="E4" s="185">
        <f>TCO_calc_table1[[#This Row],[Purchase Price]]+TCO_calc_table1[[#This Row],[Maintenance per Year]]</f>
        <v>717869</v>
      </c>
      <c r="F4" s="185">
        <f>HLOOKUP(TCO_calc_table1[[#This Row],[Product]],Calc_cost_per_dev2[#All],2,FALSE)*Inputs_table1[NGIPS]+HLOOKUP(TCO_calc_table1[[#This Row],[Product]],Calc_cost_centm_table2[#All],2,FALSE)</f>
        <v>12000</v>
      </c>
      <c r="G4" s="185">
        <f>HLOOKUP(TCO_calc_table1[Product],Calc_results_table5[#All],2,FALSE)</f>
        <v>729869</v>
      </c>
      <c r="H4" s="185">
        <f>HLOOKUP(TCO_calc_table1[Product],Calc_results_table5[#All],3,FALSE)</f>
        <v>940780</v>
      </c>
      <c r="I4" s="185">
        <f>HLOOKUP(TCO_calc_table1[Product],Calc_results_table5[#All],4,FALSE)</f>
        <v>1151691</v>
      </c>
    </row>
    <row r="5" spans="1:9">
      <c r="B5" s="133" t="str">
        <f>Comb_scrd[[#Headers],[HP TippingPoint S7500NX]]</f>
        <v>HP TippingPoint S7500NX</v>
      </c>
      <c r="C5" s="185">
        <f>HLOOKUP(TCO_calc_table1[[#This Row],[Product]],Inputs_table5[#All],2,FALSE)*Inputs_table1[NGIPS]+HLOOKUP(TCO_calc_table1[[#This Row],[Product]],Inputs_table5[#All],3,FALSE)*Inputs_table1[Central Management]</f>
        <v>4042416</v>
      </c>
      <c r="D5" s="185">
        <f>HLOOKUP(TCO_calc_table1[[#This Row],[Product]],Inputs_table5[#All],4,FALSE)*Inputs_table1[NGIPS]+HLOOKUP(TCO_calc_table1[[#This Row],[Product]],Inputs_table5[#All],5,FALSE)*Inputs_table1[Central Management]+HLOOKUP(TCO_calc_table1[[#This Row],[Product]],Inputs_table5[#All],6,FALSE)*Inputs_table1[NGIPS]</f>
        <v>825384</v>
      </c>
      <c r="E5" s="185">
        <f>TCO_calc_table1[[#This Row],[Purchase Price]]+TCO_calc_table1[[#This Row],[Maintenance per Year]]</f>
        <v>4867800</v>
      </c>
      <c r="F5" s="185">
        <f>HLOOKUP(TCO_calc_table1[[#This Row],[Product]],Calc_cost_per_dev2[#All],2,FALSE)*Inputs_table1[NGIPS]+HLOOKUP(TCO_calc_table1[[#This Row],[Product]],Calc_cost_centm_table2[#All],2,FALSE)</f>
        <v>12000</v>
      </c>
      <c r="G5" s="185">
        <f>HLOOKUP(TCO_calc_table1[Product],Calc_results_table5[#All],2,FALSE)</f>
        <v>4879800</v>
      </c>
      <c r="H5" s="185">
        <f>HLOOKUP(TCO_calc_table1[Product],Calc_results_table5[#All],3,FALSE)</f>
        <v>5705184</v>
      </c>
      <c r="I5" s="185">
        <f>HLOOKUP(TCO_calc_table1[Product],Calc_results_table5[#All],4,FALSE)</f>
        <v>6530568</v>
      </c>
    </row>
    <row r="6" spans="1:9">
      <c r="B6" s="133" t="str">
        <f>Comb_scrd[[#Headers],[IBM Security Network Protection XGS 5100]]</f>
        <v>IBM Security Network Protection XGS 5100</v>
      </c>
      <c r="C6" s="185">
        <f>HLOOKUP(TCO_calc_table1[[#This Row],[Product]],Inputs_table5[#All],2,FALSE)*Inputs_table1[NGIPS]+HLOOKUP(TCO_calc_table1[[#This Row],[Product]],Inputs_table5[#All],3,FALSE)*Inputs_table1[Central Management]</f>
        <v>2173800</v>
      </c>
      <c r="D6" s="185">
        <f>HLOOKUP(TCO_calc_table1[[#This Row],[Product]],Inputs_table5[#All],4,FALSE)*Inputs_table1[NGIPS]+HLOOKUP(TCO_calc_table1[[#This Row],[Product]],Inputs_table5[#All],5,FALSE)*Inputs_table1[Central Management]+HLOOKUP(TCO_calc_table1[[#This Row],[Product]],Inputs_table5[#All],6,FALSE)*Inputs_table1[NGIPS]</f>
        <v>477500</v>
      </c>
      <c r="E6" s="185">
        <f>TCO_calc_table1[[#This Row],[Purchase Price]]+TCO_calc_table1[[#This Row],[Maintenance per Year]]</f>
        <v>2651300</v>
      </c>
      <c r="F6" s="185">
        <f>HLOOKUP(TCO_calc_table1[[#This Row],[Product]],Calc_cost_per_dev2[#All],2,FALSE)*Inputs_table1[NGIPS]+HLOOKUP(TCO_calc_table1[[#This Row],[Product]],Calc_cost_centm_table2[#All],2,FALSE)</f>
        <v>12000</v>
      </c>
      <c r="G6" s="185">
        <f>HLOOKUP(TCO_calc_table1[Product],Calc_results_table5[#All],2,FALSE)</f>
        <v>2663300</v>
      </c>
      <c r="H6" s="185">
        <f>HLOOKUP(TCO_calc_table1[Product],Calc_results_table5[#All],3,FALSE)</f>
        <v>3140800</v>
      </c>
      <c r="I6" s="185">
        <f>HLOOKUP(TCO_calc_table1[Product],Calc_results_table5[#All],4,FALSE)</f>
        <v>3618300</v>
      </c>
    </row>
    <row r="7" spans="1:9">
      <c r="B7" s="133" t="str">
        <f>Comb_scrd[[#Headers],[IBM Security Network Protection XGS 7100]]</f>
        <v>IBM Security Network Protection XGS 7100</v>
      </c>
      <c r="C7" s="185">
        <f>HLOOKUP(TCO_calc_table1[[#This Row],[Product]],Inputs_table5[#All],2,FALSE)*Inputs_table1[NGIPS]+HLOOKUP(TCO_calc_table1[[#This Row],[Product]],Inputs_table5[#All],3,FALSE)*Inputs_table1[Central Management]</f>
        <v>5678480</v>
      </c>
      <c r="D7" s="185">
        <f>HLOOKUP(TCO_calc_table1[[#This Row],[Product]],Inputs_table5[#All],4,FALSE)*Inputs_table1[NGIPS]+HLOOKUP(TCO_calc_table1[[#This Row],[Product]],Inputs_table5[#All],5,FALSE)*Inputs_table1[Central Management]+HLOOKUP(TCO_calc_table1[[#This Row],[Product]],Inputs_table5[#All],6,FALSE)*Inputs_table1[NGIPS]</f>
        <v>1246820</v>
      </c>
      <c r="E7" s="185">
        <f>TCO_calc_table1[[#This Row],[Purchase Price]]+TCO_calc_table1[[#This Row],[Maintenance per Year]]</f>
        <v>6925300</v>
      </c>
      <c r="F7" s="185">
        <f>HLOOKUP(TCO_calc_table1[[#This Row],[Product]],Calc_cost_per_dev2[#All],2,FALSE)*Inputs_table1[NGIPS]+HLOOKUP(TCO_calc_table1[[#This Row],[Product]],Calc_cost_centm_table2[#All],2,FALSE)</f>
        <v>12000</v>
      </c>
      <c r="G7" s="185">
        <f>HLOOKUP(TCO_calc_table1[Product],Calc_results_table5[#All],2,FALSE)</f>
        <v>6937300</v>
      </c>
      <c r="H7" s="185">
        <f>HLOOKUP(TCO_calc_table1[Product],Calc_results_table5[#All],3,FALSE)</f>
        <v>8184120</v>
      </c>
      <c r="I7" s="185">
        <f>HLOOKUP(TCO_calc_table1[Product],Calc_results_table5[#All],4,FALSE)</f>
        <v>9430940</v>
      </c>
    </row>
    <row r="8" spans="1:9">
      <c r="B8" s="133" t="str">
        <f>Comb_scrd[[#Headers],[Palo Alto Networks PA-5020]]</f>
        <v>Palo Alto Networks PA-5020</v>
      </c>
      <c r="C8" s="185">
        <f>HLOOKUP(TCO_calc_table1[[#This Row],[Product]],Inputs_table5[#All],2,FALSE)*Inputs_table1[NGIPS]+HLOOKUP(TCO_calc_table1[[#This Row],[Product]],Inputs_table5[#All],3,FALSE)*Inputs_table1[Central Management]</f>
        <v>850000</v>
      </c>
      <c r="D8" s="185">
        <f>HLOOKUP(TCO_calc_table1[[#This Row],[Product]],Inputs_table5[#All],4,FALSE)*Inputs_table1[NGIPS]+HLOOKUP(TCO_calc_table1[[#This Row],[Product]],Inputs_table5[#All],5,FALSE)*Inputs_table1[Central Management]+HLOOKUP(TCO_calc_table1[[#This Row],[Product]],Inputs_table5[#All],6,FALSE)*Inputs_table1[NGIPS]</f>
        <v>208099.33333333331</v>
      </c>
      <c r="E8" s="185">
        <f>TCO_calc_table1[[#This Row],[Purchase Price]]+TCO_calc_table1[[#This Row],[Maintenance per Year]]</f>
        <v>1058099.3333333333</v>
      </c>
      <c r="F8" s="185">
        <f>HLOOKUP(TCO_calc_table1[[#This Row],[Product]],Calc_cost_per_dev2[#All],2,FALSE)*Inputs_table1[NGIPS]+HLOOKUP(TCO_calc_table1[[#This Row],[Product]],Calc_cost_centm_table2[#All],2,FALSE)</f>
        <v>12000</v>
      </c>
      <c r="G8" s="185">
        <f>HLOOKUP(TCO_calc_table1[Product],Calc_results_table5[#All],2,FALSE)</f>
        <v>1070099.3333333333</v>
      </c>
      <c r="H8" s="185">
        <f>HLOOKUP(TCO_calc_table1[Product],Calc_results_table5[#All],3,FALSE)</f>
        <v>1278198.6666666665</v>
      </c>
      <c r="I8" s="185">
        <f>HLOOKUP(TCO_calc_table1[Product],Calc_results_table5[#All],4,FALSE)</f>
        <v>1486297.9999999998</v>
      </c>
    </row>
    <row r="9" spans="1:9">
      <c r="B9" s="186"/>
      <c r="C9" s="187"/>
      <c r="D9" s="187"/>
      <c r="E9" s="187"/>
      <c r="F9" s="187"/>
      <c r="G9" s="187"/>
      <c r="H9" s="187"/>
      <c r="I9" s="187"/>
    </row>
    <row r="10" spans="1:9">
      <c r="B10" s="132" t="s">
        <v>123</v>
      </c>
      <c r="C10" s="188"/>
      <c r="D10" s="188"/>
      <c r="E10" s="188"/>
      <c r="F10" s="189"/>
      <c r="G10" s="189"/>
    </row>
    <row r="11" spans="1:9">
      <c r="B11" s="132" t="s">
        <v>124</v>
      </c>
      <c r="C11" s="188"/>
      <c r="D11" s="188"/>
      <c r="E11" s="188"/>
      <c r="F11" s="189"/>
      <c r="G11" s="189"/>
      <c r="H11" s="185"/>
    </row>
    <row r="12" spans="1:9" ht="12.75" thickBot="1">
      <c r="A12" s="139" t="s">
        <v>426</v>
      </c>
      <c r="B12" s="182" t="s">
        <v>74</v>
      </c>
      <c r="C12" s="190" t="s">
        <v>440</v>
      </c>
      <c r="D12" s="183" t="s">
        <v>465</v>
      </c>
      <c r="E12" s="191" t="s">
        <v>667</v>
      </c>
    </row>
    <row r="13" spans="1:9">
      <c r="B13" s="133" t="str">
        <f>Comb_scrd[[#Headers],[Cisco FirePOWER 8350]]</f>
        <v>Cisco FirePOWER 8350</v>
      </c>
      <c r="C13" s="192">
        <f>HLOOKUP(TCO_calc_table2[[#This Row],[Product]],Comb_scrd[#All],178,FALSE)</f>
        <v>15000</v>
      </c>
      <c r="D13" s="193">
        <f>VLOOKUP(TCO_calc_table2[[#This Row],[Product]],TCO_calc_table1[#All],2,FALSE)</f>
        <v>4858595</v>
      </c>
      <c r="E13" s="194">
        <f>TCO_calc_table2[[#This Row],[Purchase Price]]/(TCO_calc_table2[[#This Row],[Vendor-Claimed Throughput (Mbps)]]*Inputs_table1[NGIPS])</f>
        <v>16.195316666666667</v>
      </c>
      <c r="H13" s="185"/>
    </row>
    <row r="14" spans="1:9">
      <c r="B14" s="133" t="str">
        <f>Comb_scrd[[#Headers],[Fortinet FortiGate-1500D]]</f>
        <v>Fortinet FortiGate-1500D</v>
      </c>
      <c r="C14" s="192">
        <f>HLOOKUP(TCO_calc_table2[[#This Row],[Product]],Comb_scrd[#All],178,FALSE)</f>
        <v>11000</v>
      </c>
      <c r="D14" s="193">
        <f>VLOOKUP(TCO_calc_table2[[#This Row],[Product]],TCO_calc_table1[#All],2,FALSE)</f>
        <v>506958</v>
      </c>
      <c r="E14" s="194">
        <f>TCO_calc_table2[[#This Row],[Purchase Price]]/(TCO_calc_table2[[#This Row],[Vendor-Claimed Throughput (Mbps)]]*Inputs_table1[NGIPS])</f>
        <v>2.3043545454545455</v>
      </c>
    </row>
    <row r="15" spans="1:9">
      <c r="B15" s="133" t="str">
        <f>Comb_scrd[[#Headers],[HP TippingPoint S7500NX]]</f>
        <v>HP TippingPoint S7500NX</v>
      </c>
      <c r="C15" s="192">
        <f>HLOOKUP(TCO_calc_table2[[#This Row],[Product]],Comb_scrd[#All],178,FALSE)</f>
        <v>20000</v>
      </c>
      <c r="D15" s="193">
        <f>VLOOKUP(TCO_calc_table2[[#This Row],[Product]],TCO_calc_table1[#All],2,FALSE)</f>
        <v>4042416</v>
      </c>
      <c r="E15" s="194">
        <f>TCO_calc_table2[[#This Row],[Purchase Price]]/(TCO_calc_table2[[#This Row],[Vendor-Claimed Throughput (Mbps)]]*Inputs_table1[NGIPS])</f>
        <v>10.10604</v>
      </c>
    </row>
    <row r="16" spans="1:9">
      <c r="B16" s="133" t="str">
        <f>Comb_scrd[[#Headers],[IBM Security Network Protection XGS 5100]]</f>
        <v>IBM Security Network Protection XGS 5100</v>
      </c>
      <c r="C16" s="192">
        <f>HLOOKUP(TCO_calc_table2[[#This Row],[Product]],Comb_scrd[#All],178,FALSE)</f>
        <v>7000</v>
      </c>
      <c r="D16" s="193">
        <f>VLOOKUP(TCO_calc_table2[[#This Row],[Product]],TCO_calc_table1[#All],2,FALSE)</f>
        <v>2173800</v>
      </c>
      <c r="E16" s="194">
        <f>TCO_calc_table2[[#This Row],[Purchase Price]]/(TCO_calc_table2[[#This Row],[Vendor-Claimed Throughput (Mbps)]]*Inputs_table1[NGIPS])</f>
        <v>15.527142857142858</v>
      </c>
    </row>
    <row r="17" spans="1:14">
      <c r="B17" s="133" t="str">
        <f>Comb_scrd[[#Headers],[IBM Security Network Protection XGS 7100]]</f>
        <v>IBM Security Network Protection XGS 7100</v>
      </c>
      <c r="C17" s="192">
        <f>HLOOKUP(TCO_calc_table2[[#This Row],[Product]],Comb_scrd[#All],178,FALSE)</f>
        <v>20000</v>
      </c>
      <c r="D17" s="193">
        <f>VLOOKUP(TCO_calc_table2[[#This Row],[Product]],TCO_calc_table1[#All],2,FALSE)</f>
        <v>5678480</v>
      </c>
      <c r="E17" s="194">
        <f>TCO_calc_table2[[#This Row],[Purchase Price]]/(TCO_calc_table2[[#This Row],[Vendor-Claimed Throughput (Mbps)]]*Inputs_table1[NGIPS])</f>
        <v>14.196199999999999</v>
      </c>
    </row>
    <row r="18" spans="1:14">
      <c r="B18" s="133" t="str">
        <f>Comb_scrd[[#Headers],[Palo Alto Networks PA-5020]]</f>
        <v>Palo Alto Networks PA-5020</v>
      </c>
      <c r="C18" s="192">
        <f>HLOOKUP(TCO_calc_table2[[#This Row],[Product]],Comb_scrd[#All],178,FALSE)</f>
        <v>2000</v>
      </c>
      <c r="D18" s="193">
        <f>VLOOKUP(TCO_calc_table2[[#This Row],[Product]],TCO_calc_table1[#All],2,FALSE)</f>
        <v>850000</v>
      </c>
      <c r="E18" s="194">
        <f>TCO_calc_table2[[#This Row],[Purchase Price]]/(TCO_calc_table2[[#This Row],[Vendor-Claimed Throughput (Mbps)]]*Inputs_table1[NGIPS])</f>
        <v>21.25</v>
      </c>
    </row>
    <row r="19" spans="1:14">
      <c r="B19" s="172"/>
      <c r="C19" s="195"/>
      <c r="D19" s="196"/>
      <c r="E19" s="197"/>
    </row>
    <row r="20" spans="1:14">
      <c r="B20" s="132" t="s">
        <v>119</v>
      </c>
      <c r="C20" s="188"/>
      <c r="D20" s="188"/>
      <c r="E20" s="188"/>
      <c r="F20" s="188"/>
      <c r="G20" s="189"/>
    </row>
    <row r="21" spans="1:14" ht="12.75" thickBot="1">
      <c r="A21" s="139" t="s">
        <v>427</v>
      </c>
      <c r="B21" s="182" t="s">
        <v>74</v>
      </c>
      <c r="C21" s="190" t="s">
        <v>440</v>
      </c>
      <c r="D21" s="183" t="s">
        <v>465</v>
      </c>
      <c r="E21" s="184" t="s">
        <v>422</v>
      </c>
      <c r="F21" s="191" t="s">
        <v>496</v>
      </c>
    </row>
    <row r="22" spans="1:14">
      <c r="B22" s="133" t="str">
        <f>Comb_scrd[[#Headers],[Cisco FirePOWER 8350]]</f>
        <v>Cisco FirePOWER 8350</v>
      </c>
      <c r="C22" s="198">
        <f>VLOOKUP(TCO_calc_table3[[#This Row],[Product]],TCO_calc_table2[#All],2,FALSE)</f>
        <v>15000</v>
      </c>
      <c r="D22" s="193">
        <f>VLOOKUP(TCO_calc_table3[[#This Row],[Product]],TCO_calc_table1[#All],2,FALSE)</f>
        <v>4858595</v>
      </c>
      <c r="E22" s="193">
        <f>VLOOKUP(TCO_calc_table3[Product],TCO_calc_table1[#All],8,FALSE)</f>
        <v>6039191.9999999981</v>
      </c>
      <c r="F22" s="194">
        <f>TCO_calc_table3[[#This Row],[3-Year TCO]]/(TCO_calc_table3[[#This Row],[Vendor-Claimed Throughput (Mbps)]]*Inputs_table1[NGIPS])</f>
        <v>20.130639999999993</v>
      </c>
    </row>
    <row r="23" spans="1:14">
      <c r="B23" s="133" t="str">
        <f>Comb_scrd[[#Headers],[Fortinet FortiGate-1500D]]</f>
        <v>Fortinet FortiGate-1500D</v>
      </c>
      <c r="C23" s="198">
        <f>VLOOKUP(TCO_calc_table3[[#This Row],[Product]],TCO_calc_table2[#All],2,FALSE)</f>
        <v>11000</v>
      </c>
      <c r="D23" s="193">
        <f>VLOOKUP(TCO_calc_table3[[#This Row],[Product]],TCO_calc_table1[#All],2,FALSE)</f>
        <v>506958</v>
      </c>
      <c r="E23" s="193">
        <f>VLOOKUP(TCO_calc_table3[Product],TCO_calc_table1[#All],8,FALSE)</f>
        <v>1151691</v>
      </c>
      <c r="F23" s="194">
        <f>TCO_calc_table3[[#This Row],[3-Year TCO]]/(TCO_calc_table3[[#This Row],[Vendor-Claimed Throughput (Mbps)]]*Inputs_table1[NGIPS])</f>
        <v>5.2349590909090908</v>
      </c>
    </row>
    <row r="24" spans="1:14">
      <c r="B24" s="133" t="str">
        <f>Comb_scrd[[#Headers],[HP TippingPoint S7500NX]]</f>
        <v>HP TippingPoint S7500NX</v>
      </c>
      <c r="C24" s="198">
        <f>VLOOKUP(TCO_calc_table3[[#This Row],[Product]],TCO_calc_table2[#All],2,FALSE)</f>
        <v>20000</v>
      </c>
      <c r="D24" s="193">
        <f>VLOOKUP(TCO_calc_table3[[#This Row],[Product]],TCO_calc_table1[#All],2,FALSE)</f>
        <v>4042416</v>
      </c>
      <c r="E24" s="193">
        <f>VLOOKUP(TCO_calc_table3[Product],TCO_calc_table1[#All],8,FALSE)</f>
        <v>6530568</v>
      </c>
      <c r="F24" s="194">
        <f>TCO_calc_table3[[#This Row],[3-Year TCO]]/(TCO_calc_table3[[#This Row],[Vendor-Claimed Throughput (Mbps)]]*Inputs_table1[NGIPS])</f>
        <v>16.326419999999999</v>
      </c>
    </row>
    <row r="25" spans="1:14">
      <c r="B25" s="133" t="str">
        <f>Comb_scrd[[#Headers],[IBM Security Network Protection XGS 5100]]</f>
        <v>IBM Security Network Protection XGS 5100</v>
      </c>
      <c r="C25" s="198">
        <f>VLOOKUP(TCO_calc_table3[[#This Row],[Product]],TCO_calc_table2[#All],2,FALSE)</f>
        <v>7000</v>
      </c>
      <c r="D25" s="193">
        <f>VLOOKUP(TCO_calc_table3[[#This Row],[Product]],TCO_calc_table1[#All],2,FALSE)</f>
        <v>2173800</v>
      </c>
      <c r="E25" s="193">
        <f>VLOOKUP(TCO_calc_table3[Product],TCO_calc_table1[#All],8,FALSE)</f>
        <v>3618300</v>
      </c>
      <c r="F25" s="194">
        <f>TCO_calc_table3[[#This Row],[3-Year TCO]]/(TCO_calc_table3[[#This Row],[Vendor-Claimed Throughput (Mbps)]]*Inputs_table1[NGIPS])</f>
        <v>25.844999999999999</v>
      </c>
    </row>
    <row r="26" spans="1:14">
      <c r="B26" s="133" t="str">
        <f>Comb_scrd[[#Headers],[IBM Security Network Protection XGS 7100]]</f>
        <v>IBM Security Network Protection XGS 7100</v>
      </c>
      <c r="C26" s="198">
        <f>VLOOKUP(TCO_calc_table3[[#This Row],[Product]],TCO_calc_table2[#All],2,FALSE)</f>
        <v>20000</v>
      </c>
      <c r="D26" s="193">
        <f>VLOOKUP(TCO_calc_table3[[#This Row],[Product]],TCO_calc_table1[#All],2,FALSE)</f>
        <v>5678480</v>
      </c>
      <c r="E26" s="193">
        <f>VLOOKUP(TCO_calc_table3[Product],TCO_calc_table1[#All],8,FALSE)</f>
        <v>9430940</v>
      </c>
      <c r="F26" s="194">
        <f>TCO_calc_table3[[#This Row],[3-Year TCO]]/(TCO_calc_table3[[#This Row],[Vendor-Claimed Throughput (Mbps)]]*Inputs_table1[NGIPS])</f>
        <v>23.577349999999999</v>
      </c>
    </row>
    <row r="27" spans="1:14">
      <c r="B27" s="133" t="str">
        <f>Comb_scrd[[#Headers],[Palo Alto Networks PA-5020]]</f>
        <v>Palo Alto Networks PA-5020</v>
      </c>
      <c r="C27" s="198">
        <f>VLOOKUP(TCO_calc_table3[[#This Row],[Product]],TCO_calc_table2[#All],2,FALSE)</f>
        <v>2000</v>
      </c>
      <c r="D27" s="193">
        <f>VLOOKUP(TCO_calc_table3[[#This Row],[Product]],TCO_calc_table1[#All],2,FALSE)</f>
        <v>850000</v>
      </c>
      <c r="E27" s="193">
        <f>VLOOKUP(TCO_calc_table3[Product],TCO_calc_table1[#All],8,FALSE)</f>
        <v>1486297.9999999998</v>
      </c>
      <c r="F27" s="194">
        <f>TCO_calc_table3[[#This Row],[3-Year TCO]]/(TCO_calc_table3[[#This Row],[Vendor-Claimed Throughput (Mbps)]]*Inputs_table1[NGIPS])</f>
        <v>37.157449999999997</v>
      </c>
    </row>
    <row r="28" spans="1:14">
      <c r="B28" s="186"/>
      <c r="C28" s="199"/>
      <c r="D28" s="196"/>
      <c r="E28" s="196"/>
      <c r="F28" s="200"/>
    </row>
    <row r="29" spans="1:14" ht="12.75" thickBot="1">
      <c r="B29" s="132" t="s">
        <v>405</v>
      </c>
      <c r="C29" s="188"/>
      <c r="D29" s="188"/>
      <c r="E29" s="188"/>
      <c r="F29" s="188"/>
    </row>
    <row r="30" spans="1:14" ht="12.75" thickBot="1">
      <c r="A30" s="139" t="s">
        <v>428</v>
      </c>
      <c r="B30" s="182" t="s">
        <v>74</v>
      </c>
      <c r="C30" s="190" t="s">
        <v>440</v>
      </c>
      <c r="D30" s="183" t="s">
        <v>465</v>
      </c>
      <c r="E30" s="201" t="s">
        <v>413</v>
      </c>
      <c r="F30" s="202" t="s">
        <v>668</v>
      </c>
      <c r="M30" s="203"/>
      <c r="N30" s="204"/>
    </row>
    <row r="31" spans="1:14">
      <c r="B31" s="133" t="str">
        <f>Comb_scrd[[#Headers],[Cisco FirePOWER 8350]]</f>
        <v>Cisco FirePOWER 8350</v>
      </c>
      <c r="C31" s="198">
        <f>VLOOKUP(TCO_Calc_table4[[#This Row],[Product]],TCO_calc_table2[#All],2,FALSE)</f>
        <v>15000</v>
      </c>
      <c r="D31" s="193">
        <f>VLOOKUP(TCO_Calc_table4[[#This Row],[Product]],TCO_calc_table1[#All],2,FALSE)</f>
        <v>4858595</v>
      </c>
      <c r="E31" s="205">
        <f>HLOOKUP(TCO_Calc_table4[[#This Row],[Product]],Comb_scrd[#All],3,FALSE)</f>
        <v>0.99518408324552166</v>
      </c>
      <c r="F31" s="194">
        <f>TCO_Calc_table4[[#This Row],[Purchase Price]]/(TCO_Calc_table4[[#This Row],[Vendor-Claimed Throughput (Mbps)]]*TCO_Calc_table4[[#This Row],[Exploit Block Rate]]*Inputs_table1[NGIPS])</f>
        <v>16.273689400105813</v>
      </c>
      <c r="I31" s="206"/>
      <c r="M31" s="207"/>
      <c r="N31" s="204"/>
    </row>
    <row r="32" spans="1:14">
      <c r="B32" s="133" t="str">
        <f>Comb_scrd[[#Headers],[Fortinet FortiGate-1500D]]</f>
        <v>Fortinet FortiGate-1500D</v>
      </c>
      <c r="C32" s="198">
        <f>VLOOKUP(TCO_Calc_table4[[#This Row],[Product]],TCO_calc_table2[#All],2,FALSE)</f>
        <v>11000</v>
      </c>
      <c r="D32" s="193">
        <f>VLOOKUP(TCO_Calc_table4[[#This Row],[Product]],TCO_calc_table1[#All],2,FALSE)</f>
        <v>506958</v>
      </c>
      <c r="E32" s="205">
        <f>HLOOKUP(TCO_Calc_table4[[#This Row],[Product]],Comb_scrd[#All],3,FALSE)</f>
        <v>0.99160531305383703</v>
      </c>
      <c r="F32" s="194">
        <f>TCO_Calc_table4[[#This Row],[Purchase Price]]/(TCO_Calc_table4[[#This Row],[Vendor-Claimed Throughput (Mbps)]]*TCO_Calc_table4[[#This Row],[Exploit Block Rate]]*Inputs_table1[NGIPS])</f>
        <v>2.3238626448640618</v>
      </c>
      <c r="I32" s="206"/>
      <c r="M32" s="207"/>
      <c r="N32" s="204"/>
    </row>
    <row r="33" spans="1:14">
      <c r="B33" s="133" t="str">
        <f>Comb_scrd[[#Headers],[HP TippingPoint S7500NX]]</f>
        <v>HP TippingPoint S7500NX</v>
      </c>
      <c r="C33" s="208">
        <f>VLOOKUP(TCO_Calc_table4[[#This Row],[Product]],TCO_calc_table2[#All],2,FALSE)</f>
        <v>20000</v>
      </c>
      <c r="D33" s="209">
        <f>VLOOKUP(TCO_Calc_table4[[#This Row],[Product]],TCO_calc_table1[#All],2,FALSE)</f>
        <v>4042416</v>
      </c>
      <c r="E33" s="210">
        <f>HLOOKUP(TCO_Calc_table4[[#This Row],[Product]],Comb_scrd[#All],3,FALSE)</f>
        <v>0.86619640834260148</v>
      </c>
      <c r="F33" s="194">
        <f>TCO_Calc_table4[[#This Row],[Purchase Price]]/(TCO_Calc_table4[[#This Row],[Vendor-Claimed Throughput (Mbps)]]*TCO_Calc_table4[[#This Row],[Exploit Block Rate]]*Inputs_table1[NGIPS])</f>
        <v>11.667146045245223</v>
      </c>
      <c r="I33" s="206"/>
      <c r="M33" s="207"/>
      <c r="N33" s="204"/>
    </row>
    <row r="34" spans="1:14">
      <c r="B34" s="133" t="str">
        <f>Comb_scrd[[#Headers],[IBM Security Network Protection XGS 5100]]</f>
        <v>IBM Security Network Protection XGS 5100</v>
      </c>
      <c r="C34" s="208">
        <f>VLOOKUP(TCO_Calc_table4[[#This Row],[Product]],TCO_calc_table2[#All],2,FALSE)</f>
        <v>7000</v>
      </c>
      <c r="D34" s="209">
        <f>VLOOKUP(TCO_Calc_table4[[#This Row],[Product]],TCO_calc_table1[#All],2,FALSE)</f>
        <v>2173800</v>
      </c>
      <c r="E34" s="210">
        <f>HLOOKUP(TCO_Calc_table4[[#This Row],[Product]],Comb_scrd[#All],3,FALSE)</f>
        <v>0.96755286090621706</v>
      </c>
      <c r="F34" s="194">
        <f>TCO_Calc_table4[[#This Row],[Purchase Price]]/(TCO_Calc_table4[[#This Row],[Vendor-Claimed Throughput (Mbps)]]*TCO_Calc_table4[[#This Row],[Exploit Block Rate]]*Inputs_table1[NGIPS])</f>
        <v>16.047849667459019</v>
      </c>
      <c r="I34" s="206"/>
      <c r="M34" s="207"/>
      <c r="N34" s="204"/>
    </row>
    <row r="35" spans="1:14">
      <c r="B35" s="133" t="str">
        <f>Comb_scrd[[#Headers],[IBM Security Network Protection XGS 7100]]</f>
        <v>IBM Security Network Protection XGS 7100</v>
      </c>
      <c r="C35" s="208">
        <f>VLOOKUP(TCO_Calc_table4[[#This Row],[Product]],TCO_calc_table2[#All],2,FALSE)</f>
        <v>20000</v>
      </c>
      <c r="D35" s="209">
        <f>VLOOKUP(TCO_Calc_table4[[#This Row],[Product]],TCO_calc_table1[#All],2,FALSE)</f>
        <v>5678480</v>
      </c>
      <c r="E35" s="210">
        <f>HLOOKUP(TCO_Calc_table4[[#This Row],[Product]],Comb_scrd[#All],3,FALSE)</f>
        <v>0.96755286090621706</v>
      </c>
      <c r="F35" s="194">
        <f>TCO_Calc_table4[[#This Row],[Purchase Price]]/(TCO_Calc_table4[[#This Row],[Vendor-Claimed Throughput (Mbps)]]*TCO_Calc_table4[[#This Row],[Exploit Block Rate]]*Inputs_table1[NGIPS])</f>
        <v>14.672273292338506</v>
      </c>
      <c r="I35" s="206"/>
      <c r="M35" s="207"/>
      <c r="N35" s="204"/>
    </row>
    <row r="36" spans="1:14">
      <c r="B36" s="133" t="str">
        <f>Comb_scrd[[#Headers],[Palo Alto Networks PA-5020]]</f>
        <v>Palo Alto Networks PA-5020</v>
      </c>
      <c r="C36" s="208">
        <f>VLOOKUP(TCO_Calc_table4[[#This Row],[Product]],TCO_calc_table2[#All],2,FALSE)</f>
        <v>2000</v>
      </c>
      <c r="D36" s="209">
        <f>VLOOKUP(TCO_Calc_table4[[#This Row],[Product]],TCO_calc_table1[#All],2,FALSE)</f>
        <v>850000</v>
      </c>
      <c r="E36" s="210">
        <f>HLOOKUP(TCO_Calc_table4[[#This Row],[Product]],Comb_scrd[#All],3,FALSE)</f>
        <v>0.987881981032666</v>
      </c>
      <c r="F36" s="194">
        <f>TCO_Calc_table4[[#This Row],[Purchase Price]]/(TCO_Calc_table4[[#This Row],[Vendor-Claimed Throughput (Mbps)]]*TCO_Calc_table4[[#This Row],[Exploit Block Rate]]*Inputs_table1[NGIPS])</f>
        <v>21.510666666666665</v>
      </c>
      <c r="I36" s="206"/>
      <c r="M36" s="207"/>
      <c r="N36" s="204"/>
    </row>
    <row r="37" spans="1:14">
      <c r="I37" s="206"/>
      <c r="J37" s="204"/>
      <c r="K37" s="204"/>
      <c r="L37" s="204"/>
      <c r="M37" s="204"/>
      <c r="N37" s="204"/>
    </row>
    <row r="38" spans="1:14">
      <c r="B38" s="132" t="s">
        <v>120</v>
      </c>
      <c r="C38" s="188"/>
      <c r="D38" s="188"/>
      <c r="E38" s="188"/>
      <c r="F38" s="188"/>
      <c r="G38" s="188"/>
    </row>
    <row r="39" spans="1:14" ht="12.75" thickBot="1">
      <c r="A39" s="139" t="s">
        <v>429</v>
      </c>
      <c r="B39" s="212" t="s">
        <v>74</v>
      </c>
      <c r="C39" s="213" t="s">
        <v>440</v>
      </c>
      <c r="D39" s="183" t="s">
        <v>465</v>
      </c>
      <c r="E39" s="214" t="s">
        <v>413</v>
      </c>
      <c r="F39" s="184" t="s">
        <v>422</v>
      </c>
      <c r="G39" s="215" t="s">
        <v>489</v>
      </c>
    </row>
    <row r="40" spans="1:14">
      <c r="B40" s="133" t="str">
        <f>Comb_scrd[[#Headers],[Cisco FirePOWER 8350]]</f>
        <v>Cisco FirePOWER 8350</v>
      </c>
      <c r="C40" s="216">
        <f>VLOOKUP(TCO_calc_table5[[#This Row],[Product]],TCO_calc_table2[#All],2,FALSE)</f>
        <v>15000</v>
      </c>
      <c r="D40" s="217">
        <f>VLOOKUP(TCO_calc_table5[[#This Row],[Product]],TCO_calc_table1[#All],2,FALSE)</f>
        <v>4858595</v>
      </c>
      <c r="E40" s="218">
        <f>VLOOKUP(TCO_calc_table5[[#This Row],[Product]],TCO_Calc_table4[#All],4,FALSE)</f>
        <v>0.99518408324552166</v>
      </c>
      <c r="F40" s="217">
        <f>VLOOKUP(TCO_calc_table5[Product],TCO_calc_table1[#All],8,FALSE)</f>
        <v>6039191.9999999981</v>
      </c>
      <c r="G40" s="219">
        <f>TCO_calc_table5[[#This Row],[3-Year TCO]]/(TCO_calc_table5[[#This Row],[Vendor-Claimed Throughput (Mbps)]]*TCO_calc_table5[[#This Row],[Exploit Block Rate]]*Inputs_table1[NGIPS])</f>
        <v>20.228056636868022</v>
      </c>
    </row>
    <row r="41" spans="1:14">
      <c r="B41" s="133" t="str">
        <f>Comb_scrd[[#Headers],[Fortinet FortiGate-1500D]]</f>
        <v>Fortinet FortiGate-1500D</v>
      </c>
      <c r="C41" s="220">
        <f>VLOOKUP(TCO_calc_table5[[#This Row],[Product]],TCO_calc_table2[#All],2,FALSE)</f>
        <v>11000</v>
      </c>
      <c r="D41" s="217">
        <f>VLOOKUP(TCO_calc_table5[[#This Row],[Product]],TCO_calc_table1[#All],2,FALSE)</f>
        <v>506958</v>
      </c>
      <c r="E41" s="221">
        <f>VLOOKUP(TCO_calc_table5[[#This Row],[Product]],TCO_Calc_table4[#All],4,FALSE)</f>
        <v>0.99160531305383703</v>
      </c>
      <c r="F41" s="217">
        <f>VLOOKUP(TCO_calc_table5[Product],TCO_calc_table1[#All],8,FALSE)</f>
        <v>1151691</v>
      </c>
      <c r="G41" s="219">
        <f>TCO_calc_table5[[#This Row],[3-Year TCO]]/(TCO_calc_table5[[#This Row],[Vendor-Claimed Throughput (Mbps)]]*TCO_calc_table5[[#This Row],[Exploit Block Rate]]*Inputs_table1[NGIPS])</f>
        <v>5.2792769683605663</v>
      </c>
    </row>
    <row r="42" spans="1:14">
      <c r="B42" s="133" t="str">
        <f>Comb_scrd[[#Headers],[HP TippingPoint S7500NX]]</f>
        <v>HP TippingPoint S7500NX</v>
      </c>
      <c r="C42" s="220">
        <f>VLOOKUP(TCO_calc_table5[[#This Row],[Product]],TCO_calc_table2[#All],2,FALSE)</f>
        <v>20000</v>
      </c>
      <c r="D42" s="217">
        <f>VLOOKUP(TCO_calc_table5[[#This Row],[Product]],TCO_calc_table1[#All],2,FALSE)</f>
        <v>4042416</v>
      </c>
      <c r="E42" s="221">
        <f>VLOOKUP(TCO_calc_table5[[#This Row],[Product]],TCO_Calc_table4[#All],4,FALSE)</f>
        <v>0.86619640834260148</v>
      </c>
      <c r="F42" s="217">
        <f>VLOOKUP(TCO_calc_table5[Product],TCO_calc_table1[#All],8,FALSE)</f>
        <v>6530568</v>
      </c>
      <c r="G42" s="219">
        <f>TCO_calc_table5[[#This Row],[3-Year TCO]]/(TCO_calc_table5[[#This Row],[Vendor-Claimed Throughput (Mbps)]]*TCO_calc_table5[[#This Row],[Exploit Block Rate]]*Inputs_table1[NGIPS])</f>
        <v>18.848404175721896</v>
      </c>
    </row>
    <row r="43" spans="1:14">
      <c r="B43" s="133" t="str">
        <f>Comb_scrd[[#Headers],[IBM Security Network Protection XGS 5100]]</f>
        <v>IBM Security Network Protection XGS 5100</v>
      </c>
      <c r="C43" s="220">
        <f>VLOOKUP(TCO_calc_table5[[#This Row],[Product]],TCO_calc_table2[#All],2,FALSE)</f>
        <v>7000</v>
      </c>
      <c r="D43" s="217">
        <f>VLOOKUP(TCO_calc_table5[[#This Row],[Product]],TCO_calc_table1[#All],2,FALSE)</f>
        <v>2173800</v>
      </c>
      <c r="E43" s="221">
        <f>VLOOKUP(TCO_calc_table5[[#This Row],[Product]],TCO_Calc_table4[#All],4,FALSE)</f>
        <v>0.96755286090621706</v>
      </c>
      <c r="F43" s="217">
        <f>VLOOKUP(TCO_calc_table5[Product],TCO_calc_table1[#All],8,FALSE)</f>
        <v>3618300</v>
      </c>
      <c r="G43" s="219">
        <f>TCO_calc_table5[[#This Row],[3-Year TCO]]/(TCO_calc_table5[[#This Row],[Vendor-Claimed Throughput (Mbps)]]*TCO_calc_table5[[#This Row],[Exploit Block Rate]]*Inputs_table1[NGIPS])</f>
        <v>26.711718857193379</v>
      </c>
    </row>
    <row r="44" spans="1:14">
      <c r="B44" s="133" t="str">
        <f>Comb_scrd[[#Headers],[IBM Security Network Protection XGS 7100]]</f>
        <v>IBM Security Network Protection XGS 7100</v>
      </c>
      <c r="C44" s="220">
        <f>VLOOKUP(TCO_calc_table5[[#This Row],[Product]],TCO_calc_table2[#All],2,FALSE)</f>
        <v>20000</v>
      </c>
      <c r="D44" s="217">
        <f>VLOOKUP(TCO_calc_table5[[#This Row],[Product]],TCO_calc_table1[#All],2,FALSE)</f>
        <v>5678480</v>
      </c>
      <c r="E44" s="221">
        <f>VLOOKUP(TCO_calc_table5[[#This Row],[Product]],TCO_Calc_table4[#All],4,FALSE)</f>
        <v>0.96755286090621706</v>
      </c>
      <c r="F44" s="217">
        <f>VLOOKUP(TCO_calc_table5[Product],TCO_calc_table1[#All],8,FALSE)</f>
        <v>9430940</v>
      </c>
      <c r="G44" s="219">
        <f>TCO_calc_table5[[#This Row],[3-Year TCO]]/(TCO_calc_table5[[#This Row],[Vendor-Claimed Throughput (Mbps)]]*TCO_calc_table5[[#This Row],[Exploit Block Rate]]*Inputs_table1[NGIPS])</f>
        <v>24.368022619371189</v>
      </c>
    </row>
    <row r="45" spans="1:14">
      <c r="B45" s="133" t="str">
        <f>Comb_scrd[[#Headers],[Palo Alto Networks PA-5020]]</f>
        <v>Palo Alto Networks PA-5020</v>
      </c>
      <c r="C45" s="220">
        <f>VLOOKUP(TCO_calc_table5[[#This Row],[Product]],TCO_calc_table2[#All],2,FALSE)</f>
        <v>2000</v>
      </c>
      <c r="D45" s="217">
        <f>VLOOKUP(TCO_calc_table5[[#This Row],[Product]],TCO_calc_table1[#All],2,FALSE)</f>
        <v>850000</v>
      </c>
      <c r="E45" s="221">
        <f>VLOOKUP(TCO_calc_table5[[#This Row],[Product]],TCO_Calc_table4[#All],4,FALSE)</f>
        <v>0.987881981032666</v>
      </c>
      <c r="F45" s="217">
        <f>VLOOKUP(TCO_calc_table5[Product],TCO_calc_table1[#All],8,FALSE)</f>
        <v>1486297.9999999998</v>
      </c>
      <c r="G45" s="219">
        <f>TCO_calc_table5[[#This Row],[3-Year TCO]]/(TCO_calc_table5[[#This Row],[Vendor-Claimed Throughput (Mbps)]]*TCO_calc_table5[[#This Row],[Exploit Block Rate]]*Inputs_table1[NGIPS])</f>
        <v>37.613248053333322</v>
      </c>
    </row>
    <row r="46" spans="1:14">
      <c r="B46" s="172"/>
      <c r="C46" s="222"/>
      <c r="D46" s="223"/>
      <c r="E46" s="136"/>
      <c r="F46" s="223"/>
      <c r="G46" s="224"/>
    </row>
    <row r="47" spans="1:14">
      <c r="B47" s="132" t="s">
        <v>121</v>
      </c>
      <c r="C47" s="188"/>
      <c r="D47" s="188"/>
      <c r="E47" s="188"/>
      <c r="F47" s="225"/>
      <c r="G47" s="226"/>
    </row>
    <row r="48" spans="1:14" ht="12.75" thickBot="1">
      <c r="A48" s="139" t="s">
        <v>430</v>
      </c>
      <c r="B48" s="182" t="s">
        <v>74</v>
      </c>
      <c r="C48" s="190" t="s">
        <v>440</v>
      </c>
      <c r="D48" s="227" t="s">
        <v>466</v>
      </c>
      <c r="E48" s="143" t="s">
        <v>78</v>
      </c>
      <c r="F48" s="223"/>
      <c r="G48" s="224"/>
    </row>
    <row r="49" spans="1:7">
      <c r="B49" s="133" t="str">
        <f>Comb_scrd[[#Headers],[Cisco FirePOWER 8350]]</f>
        <v>Cisco FirePOWER 8350</v>
      </c>
      <c r="C49" s="220">
        <f>VLOOKUP(TCO_calc_table6[[#This Row],[Product]],TCO_calc_table2[#All],2,FALSE)</f>
        <v>15000</v>
      </c>
      <c r="D49" s="198">
        <f>VLOOKUP(TCO_calc_table6[[#This Row],[Product]],Perf_table1[#All],2,FALSE)</f>
        <v>18532.8</v>
      </c>
      <c r="E49" s="228">
        <f>(TCO_calc_table6[[#This Row],[NSS-Tested Throughput (Mbps)]]-TCO_calc_table6[[#This Row],[Vendor-Claimed Throughput (Mbps)]])/TCO_calc_table6[[#This Row],[Vendor-Claimed Throughput (Mbps)]]</f>
        <v>0.23551999999999995</v>
      </c>
      <c r="F49" s="223"/>
      <c r="G49" s="224"/>
    </row>
    <row r="50" spans="1:7">
      <c r="B50" s="133" t="str">
        <f>Comb_scrd[[#Headers],[Fortinet FortiGate-1500D]]</f>
        <v>Fortinet FortiGate-1500D</v>
      </c>
      <c r="C50" s="220">
        <f>VLOOKUP(TCO_calc_table6[[#This Row],[Product]],TCO_calc_table2[#All],2,FALSE)</f>
        <v>11000</v>
      </c>
      <c r="D50" s="198">
        <f>VLOOKUP(TCO_calc_table6[[#This Row],[Product]],Perf_table1[#All],2,FALSE)</f>
        <v>11726.8</v>
      </c>
      <c r="E50" s="228">
        <f>(TCO_calc_table6[[#This Row],[NSS-Tested Throughput (Mbps)]]-TCO_calc_table6[[#This Row],[Vendor-Claimed Throughput (Mbps)]])/TCO_calc_table6[[#This Row],[Vendor-Claimed Throughput (Mbps)]]</f>
        <v>6.60727272727272E-2</v>
      </c>
      <c r="F50" s="223"/>
      <c r="G50" s="224"/>
    </row>
    <row r="51" spans="1:7">
      <c r="B51" s="133" t="str">
        <f>Comb_scrd[[#Headers],[HP TippingPoint S7500NX]]</f>
        <v>HP TippingPoint S7500NX</v>
      </c>
      <c r="C51" s="220">
        <f>VLOOKUP(TCO_calc_table6[[#This Row],[Product]],TCO_calc_table2[#All],2,FALSE)</f>
        <v>20000</v>
      </c>
      <c r="D51" s="198">
        <f>VLOOKUP(TCO_calc_table6[[#This Row],[Product]],Perf_table1[#All],2,FALSE)</f>
        <v>18694.400000000001</v>
      </c>
      <c r="E51" s="228">
        <f>(TCO_calc_table6[[#This Row],[NSS-Tested Throughput (Mbps)]]-TCO_calc_table6[[#This Row],[Vendor-Claimed Throughput (Mbps)]])/TCO_calc_table6[[#This Row],[Vendor-Claimed Throughput (Mbps)]]</f>
        <v>-6.5279999999999921E-2</v>
      </c>
      <c r="F51" s="223"/>
      <c r="G51" s="224"/>
    </row>
    <row r="52" spans="1:7">
      <c r="B52" s="133" t="str">
        <f>Comb_scrd[[#Headers],[IBM Security Network Protection XGS 5100]]</f>
        <v>IBM Security Network Protection XGS 5100</v>
      </c>
      <c r="C52" s="220">
        <f>VLOOKUP(TCO_calc_table6[[#This Row],[Product]],TCO_calc_table2[#All],2,FALSE)</f>
        <v>7000</v>
      </c>
      <c r="D52" s="198">
        <f>VLOOKUP(TCO_calc_table6[[#This Row],[Product]],Perf_table1[#All],2,FALSE)</f>
        <v>9168.2000000000007</v>
      </c>
      <c r="E52" s="228">
        <f>(TCO_calc_table6[[#This Row],[NSS-Tested Throughput (Mbps)]]-TCO_calc_table6[[#This Row],[Vendor-Claimed Throughput (Mbps)]])/TCO_calc_table6[[#This Row],[Vendor-Claimed Throughput (Mbps)]]</f>
        <v>0.30974285714285726</v>
      </c>
      <c r="F52" s="223"/>
      <c r="G52" s="224"/>
    </row>
    <row r="53" spans="1:7">
      <c r="B53" s="133" t="str">
        <f>Comb_scrd[[#Headers],[IBM Security Network Protection XGS 7100]]</f>
        <v>IBM Security Network Protection XGS 7100</v>
      </c>
      <c r="C53" s="220">
        <f>VLOOKUP(TCO_calc_table6[[#This Row],[Product]],TCO_calc_table2[#All],2,FALSE)</f>
        <v>20000</v>
      </c>
      <c r="D53" s="198">
        <f>VLOOKUP(TCO_calc_table6[[#This Row],[Product]],Perf_table1[#All],2,FALSE)</f>
        <v>24194</v>
      </c>
      <c r="E53" s="228">
        <f>(TCO_calc_table6[[#This Row],[NSS-Tested Throughput (Mbps)]]-TCO_calc_table6[[#This Row],[Vendor-Claimed Throughput (Mbps)]])/TCO_calc_table6[[#This Row],[Vendor-Claimed Throughput (Mbps)]]</f>
        <v>0.2097</v>
      </c>
      <c r="F53" s="223"/>
      <c r="G53" s="224"/>
    </row>
    <row r="54" spans="1:7">
      <c r="B54" s="133" t="str">
        <f>Comb_scrd[[#Headers],[Palo Alto Networks PA-5020]]</f>
        <v>Palo Alto Networks PA-5020</v>
      </c>
      <c r="C54" s="220">
        <f>VLOOKUP(TCO_calc_table6[[#This Row],[Product]],TCO_calc_table2[#All],2,FALSE)</f>
        <v>2000</v>
      </c>
      <c r="D54" s="198">
        <f>VLOOKUP(TCO_calc_table6[[#This Row],[Product]],Perf_table1[#All],2,FALSE)</f>
        <v>2972.82</v>
      </c>
      <c r="E54" s="228">
        <f>(TCO_calc_table6[[#This Row],[NSS-Tested Throughput (Mbps)]]-TCO_calc_table6[[#This Row],[Vendor-Claimed Throughput (Mbps)]])/TCO_calc_table6[[#This Row],[Vendor-Claimed Throughput (Mbps)]]</f>
        <v>0.48641000000000006</v>
      </c>
      <c r="F54" s="223"/>
      <c r="G54" s="224"/>
    </row>
    <row r="56" spans="1:7" ht="12.75" thickBot="1">
      <c r="B56" s="132" t="s">
        <v>125</v>
      </c>
      <c r="C56" s="188"/>
      <c r="D56" s="188"/>
      <c r="E56" s="188"/>
      <c r="F56" s="188"/>
      <c r="G56" s="188"/>
    </row>
    <row r="57" spans="1:7" ht="12.75" thickBot="1">
      <c r="A57" s="139" t="s">
        <v>431</v>
      </c>
      <c r="B57" s="182" t="s">
        <v>74</v>
      </c>
      <c r="C57" s="190" t="s">
        <v>440</v>
      </c>
      <c r="D57" s="227" t="s">
        <v>466</v>
      </c>
      <c r="E57" s="183" t="s">
        <v>465</v>
      </c>
      <c r="F57" s="201" t="s">
        <v>413</v>
      </c>
      <c r="G57" s="202" t="s">
        <v>668</v>
      </c>
    </row>
    <row r="58" spans="1:7">
      <c r="B58" s="133" t="str">
        <f>Comb_scrd[[#Headers],[Cisco FirePOWER 8350]]</f>
        <v>Cisco FirePOWER 8350</v>
      </c>
      <c r="C58" s="198">
        <f>VLOOKUP(TCO_calc_table7[[#This Row],[Product]],TCO_calc_table2[#All],2,FALSE)</f>
        <v>15000</v>
      </c>
      <c r="D58" s="198">
        <f>VLOOKUP(TCO_calc_table7[[#This Row],[Product]],Perf_table1[#All],2,FALSE)</f>
        <v>18532.8</v>
      </c>
      <c r="E58" s="224">
        <f>VLOOKUP(TCO_calc_table7[[#This Row],[Product]],TCO_calc_table1[#All],2,FALSE)</f>
        <v>4858595</v>
      </c>
      <c r="F58" s="136">
        <f>VLOOKUP(TCO_calc_table7[[#This Row],[Product]],TCO_Calc_table4[#All],4,FALSE)</f>
        <v>0.99518408324552166</v>
      </c>
      <c r="G58" s="194">
        <f>TCO_calc_table7[[#This Row],[Purchase Price]]/(TCO_calc_table7[[#This Row],[NSS-Tested Throughput (Mbps)]]*TCO_calc_table7[[#This Row],[Exploit Block Rate]]*Inputs_table1[NGIPS])</f>
        <v>13.171530529741171</v>
      </c>
    </row>
    <row r="59" spans="1:7">
      <c r="B59" s="133" t="str">
        <f>Comb_scrd[[#Headers],[Fortinet FortiGate-1500D]]</f>
        <v>Fortinet FortiGate-1500D</v>
      </c>
      <c r="C59" s="198">
        <f>VLOOKUP(TCO_calc_table7[[#This Row],[Product]],TCO_calc_table2[#All],2,FALSE)</f>
        <v>11000</v>
      </c>
      <c r="D59" s="208">
        <f>VLOOKUP(TCO_calc_table7[[#This Row],[Product]],Perf_table1[#All],2,FALSE)</f>
        <v>11726.8</v>
      </c>
      <c r="E59" s="224">
        <f>VLOOKUP(TCO_calc_table7[[#This Row],[Product]],TCO_calc_table1[#All],2,FALSE)</f>
        <v>506958</v>
      </c>
      <c r="F59" s="136">
        <f>VLOOKUP(TCO_calc_table7[[#This Row],[Product]],TCO_Calc_table4[#All],4,FALSE)</f>
        <v>0.99160531305383703</v>
      </c>
      <c r="G59" s="194">
        <f>TCO_calc_table7[[#This Row],[Purchase Price]]/(TCO_calc_table7[[#This Row],[NSS-Tested Throughput (Mbps)]]*TCO_calc_table7[[#This Row],[Exploit Block Rate]]*Inputs_table1[NGIPS])</f>
        <v>2.1798350013221577</v>
      </c>
    </row>
    <row r="60" spans="1:7">
      <c r="B60" s="133" t="str">
        <f>Comb_scrd[[#Headers],[HP TippingPoint S7500NX]]</f>
        <v>HP TippingPoint S7500NX</v>
      </c>
      <c r="C60" s="198">
        <f>VLOOKUP(TCO_calc_table7[[#This Row],[Product]],TCO_calc_table2[#All],2,FALSE)</f>
        <v>20000</v>
      </c>
      <c r="D60" s="198">
        <f>VLOOKUP(TCO_calc_table7[[#This Row],[Product]],Perf_table1[#All],2,FALSE)</f>
        <v>18694.400000000001</v>
      </c>
      <c r="E60" s="224">
        <f>VLOOKUP(TCO_calc_table7[[#This Row],[Product]],TCO_calc_table1[#All],2,FALSE)</f>
        <v>4042416</v>
      </c>
      <c r="F60" s="136">
        <f>VLOOKUP(TCO_calc_table7[[#This Row],[Product]],TCO_Calc_table4[#All],4,FALSE)</f>
        <v>0.86619640834260148</v>
      </c>
      <c r="G60" s="194">
        <f>TCO_calc_table7[[#This Row],[Purchase Price]]/(TCO_calc_table7[[#This Row],[NSS-Tested Throughput (Mbps)]]*TCO_calc_table7[[#This Row],[Exploit Block Rate]]*Inputs_table1[NGIPS])</f>
        <v>12.481968980277754</v>
      </c>
    </row>
    <row r="61" spans="1:7">
      <c r="B61" s="133" t="str">
        <f>Comb_scrd[[#Headers],[IBM Security Network Protection XGS 5100]]</f>
        <v>IBM Security Network Protection XGS 5100</v>
      </c>
      <c r="C61" s="198">
        <f>VLOOKUP(TCO_calc_table7[[#This Row],[Product]],TCO_calc_table2[#All],2,FALSE)</f>
        <v>7000</v>
      </c>
      <c r="D61" s="208">
        <f>VLOOKUP(TCO_calc_table7[[#This Row],[Product]],Perf_table1[#All],2,FALSE)</f>
        <v>9168.2000000000007</v>
      </c>
      <c r="E61" s="224">
        <f>VLOOKUP(TCO_calc_table7[[#This Row],[Product]],TCO_calc_table1[#All],2,FALSE)</f>
        <v>2173800</v>
      </c>
      <c r="F61" s="136">
        <f>VLOOKUP(TCO_calc_table7[[#This Row],[Product]],TCO_Calc_table4[#All],4,FALSE)</f>
        <v>0.96755286090621706</v>
      </c>
      <c r="G61" s="194">
        <f>TCO_calc_table7[[#This Row],[Purchase Price]]/(TCO_calc_table7[[#This Row],[NSS-Tested Throughput (Mbps)]]*TCO_calc_table7[[#This Row],[Exploit Block Rate]]*Inputs_table1[NGIPS])</f>
        <v>12.252672026375199</v>
      </c>
    </row>
    <row r="62" spans="1:7">
      <c r="B62" s="133" t="str">
        <f>Comb_scrd[[#Headers],[IBM Security Network Protection XGS 7100]]</f>
        <v>IBM Security Network Protection XGS 7100</v>
      </c>
      <c r="C62" s="198">
        <f>VLOOKUP(TCO_calc_table7[[#This Row],[Product]],TCO_calc_table2[#All],2,FALSE)</f>
        <v>20000</v>
      </c>
      <c r="D62" s="208">
        <f>VLOOKUP(TCO_calc_table7[[#This Row],[Product]],Perf_table1[#All],2,FALSE)</f>
        <v>24194</v>
      </c>
      <c r="E62" s="224">
        <f>VLOOKUP(TCO_calc_table7[[#This Row],[Product]],TCO_calc_table1[#All],2,FALSE)</f>
        <v>5678480</v>
      </c>
      <c r="F62" s="136">
        <f>VLOOKUP(TCO_calc_table7[[#This Row],[Product]],TCO_Calc_table4[#All],4,FALSE)</f>
        <v>0.96755286090621706</v>
      </c>
      <c r="G62" s="194">
        <f>TCO_calc_table7[[#This Row],[Purchase Price]]/(TCO_calc_table7[[#This Row],[NSS-Tested Throughput (Mbps)]]*TCO_calc_table7[[#This Row],[Exploit Block Rate]]*Inputs_table1[NGIPS])</f>
        <v>12.128852849746636</v>
      </c>
    </row>
    <row r="63" spans="1:7">
      <c r="B63" s="133" t="str">
        <f>Comb_scrd[[#Headers],[Palo Alto Networks PA-5020]]</f>
        <v>Palo Alto Networks PA-5020</v>
      </c>
      <c r="C63" s="198">
        <f>VLOOKUP(TCO_calc_table7[[#This Row],[Product]],TCO_calc_table2[#All],2,FALSE)</f>
        <v>2000</v>
      </c>
      <c r="D63" s="208">
        <f>VLOOKUP(TCO_calc_table7[[#This Row],[Product]],Perf_table1[#All],2,FALSE)</f>
        <v>2972.82</v>
      </c>
      <c r="E63" s="224">
        <f>VLOOKUP(TCO_calc_table7[[#This Row],[Product]],TCO_calc_table1[#All],2,FALSE)</f>
        <v>850000</v>
      </c>
      <c r="F63" s="136">
        <f>VLOOKUP(TCO_calc_table7[[#This Row],[Product]],TCO_Calc_table4[#All],4,FALSE)</f>
        <v>0.987881981032666</v>
      </c>
      <c r="G63" s="194">
        <f>TCO_calc_table7[[#This Row],[Purchase Price]]/(TCO_calc_table7[[#This Row],[NSS-Tested Throughput (Mbps)]]*TCO_calc_table7[[#This Row],[Exploit Block Rate]]*Inputs_table1[NGIPS])</f>
        <v>14.471556748586639</v>
      </c>
    </row>
    <row r="65" spans="1:9" ht="12.75" thickBot="1">
      <c r="B65" s="132" t="s">
        <v>122</v>
      </c>
      <c r="C65" s="188"/>
      <c r="D65" s="188"/>
      <c r="E65" s="188"/>
      <c r="F65" s="188"/>
      <c r="G65" s="188"/>
      <c r="H65" s="188"/>
    </row>
    <row r="66" spans="1:9" ht="12.75" thickBot="1">
      <c r="A66" s="139" t="s">
        <v>433</v>
      </c>
      <c r="B66" s="182" t="s">
        <v>74</v>
      </c>
      <c r="C66" s="190" t="s">
        <v>440</v>
      </c>
      <c r="D66" s="227" t="s">
        <v>466</v>
      </c>
      <c r="E66" s="183" t="s">
        <v>465</v>
      </c>
      <c r="F66" s="201" t="s">
        <v>413</v>
      </c>
      <c r="G66" s="184" t="s">
        <v>422</v>
      </c>
      <c r="H66" s="191" t="s">
        <v>489</v>
      </c>
    </row>
    <row r="67" spans="1:9">
      <c r="B67" s="133" t="str">
        <f>Comb_scrd[[#Headers],[Cisco FirePOWER 8350]]</f>
        <v>Cisco FirePOWER 8350</v>
      </c>
      <c r="C67" s="198">
        <f>VLOOKUP(TCO_calc_table8[[#This Row],[Product]],TCO_calc_table2[#All],2,FALSE)</f>
        <v>15000</v>
      </c>
      <c r="D67" s="198">
        <f>VLOOKUP(TCO_calc_table8[[#This Row],[Product]],Perf_table1[#All],2,FALSE)</f>
        <v>18532.8</v>
      </c>
      <c r="E67" s="224">
        <f>VLOOKUP(TCO_calc_table8[[#This Row],[Product]],TCO_calc_table1[#All],2,FALSE)</f>
        <v>4858595</v>
      </c>
      <c r="F67" s="136">
        <f>VLOOKUP(TCO_calc_table8[[#This Row],[Product]],TCO_Calc_table4[#All],4,FALSE)</f>
        <v>0.99518408324552166</v>
      </c>
      <c r="G67" s="193">
        <f>VLOOKUP(TCO_calc_table8[Product],TCO_calc_table1[#All],8,FALSE)</f>
        <v>6039191.9999999981</v>
      </c>
      <c r="H67" s="194">
        <f>TCO_calc_table8[[#This Row],[3-Year TCO]]/(TCO_calc_table8[[#This Row],[NSS-Tested Throughput (Mbps)]]*TCO_calc_table8[[#This Row],[Exploit Block Rate]]*Inputs_table1[NGIPS])</f>
        <v>16.372099712564768</v>
      </c>
    </row>
    <row r="68" spans="1:9">
      <c r="B68" s="133" t="str">
        <f>Comb_scrd[[#Headers],[Fortinet FortiGate-1500D]]</f>
        <v>Fortinet FortiGate-1500D</v>
      </c>
      <c r="C68" s="198">
        <f>VLOOKUP(TCO_calc_table8[[#This Row],[Product]],TCO_calc_table2[#All],2,FALSE)</f>
        <v>11000</v>
      </c>
      <c r="D68" s="208">
        <f>VLOOKUP(TCO_calc_table8[[#This Row],[Product]],Perf_table1[#All],2,FALSE)</f>
        <v>11726.8</v>
      </c>
      <c r="E68" s="224">
        <f>VLOOKUP(TCO_calc_table8[[#This Row],[Product]],TCO_calc_table1[#All],2,FALSE)</f>
        <v>506958</v>
      </c>
      <c r="F68" s="136">
        <f>VLOOKUP(TCO_calc_table8[[#This Row],[Product]],TCO_Calc_table4[#All],4,FALSE)</f>
        <v>0.99160531305383703</v>
      </c>
      <c r="G68" s="193">
        <f>VLOOKUP(TCO_calc_table8[Product],TCO_calc_table1[#All],8,FALSE)</f>
        <v>1151691</v>
      </c>
      <c r="H68" s="194">
        <f>TCO_calc_table8[[#This Row],[3-Year TCO]]/(TCO_calc_table8[[#This Row],[NSS-Tested Throughput (Mbps)]]*TCO_calc_table8[[#This Row],[Exploit Block Rate]]*Inputs_table1[NGIPS])</f>
        <v>4.9520795657780665</v>
      </c>
    </row>
    <row r="69" spans="1:9">
      <c r="B69" s="133" t="str">
        <f>Comb_scrd[[#Headers],[HP TippingPoint S7500NX]]</f>
        <v>HP TippingPoint S7500NX</v>
      </c>
      <c r="C69" s="198">
        <f>VLOOKUP(TCO_calc_table8[[#This Row],[Product]],TCO_calc_table2[#All],2,FALSE)</f>
        <v>20000</v>
      </c>
      <c r="D69" s="198">
        <f>VLOOKUP(TCO_calc_table8[[#This Row],[Product]],Perf_table1[#All],2,FALSE)</f>
        <v>18694.400000000001</v>
      </c>
      <c r="E69" s="224">
        <f>VLOOKUP(TCO_calc_table8[[#This Row],[Product]],TCO_calc_table1[#All],2,FALSE)</f>
        <v>4042416</v>
      </c>
      <c r="F69" s="136">
        <f>VLOOKUP(TCO_calc_table8[[#This Row],[Product]],TCO_Calc_table4[#All],4,FALSE)</f>
        <v>0.86619640834260148</v>
      </c>
      <c r="G69" s="193">
        <f>VLOOKUP(TCO_calc_table8[Product],TCO_calc_table1[#All],8,FALSE)</f>
        <v>6530568</v>
      </c>
      <c r="H69" s="194">
        <f>TCO_calc_table8[[#This Row],[3-Year TCO]]/(TCO_calc_table8[[#This Row],[NSS-Tested Throughput (Mbps)]]*TCO_calc_table8[[#This Row],[Exploit Block Rate]]*Inputs_table1[NGIPS])</f>
        <v>20.164759688165329</v>
      </c>
    </row>
    <row r="70" spans="1:9">
      <c r="B70" s="133" t="str">
        <f>Comb_scrd[[#Headers],[IBM Security Network Protection XGS 5100]]</f>
        <v>IBM Security Network Protection XGS 5100</v>
      </c>
      <c r="C70" s="198">
        <f>VLOOKUP(TCO_calc_table8[[#This Row],[Product]],TCO_calc_table2[#All],2,FALSE)</f>
        <v>7000</v>
      </c>
      <c r="D70" s="208">
        <f>VLOOKUP(TCO_calc_table8[[#This Row],[Product]],Perf_table1[#All],2,FALSE)</f>
        <v>9168.2000000000007</v>
      </c>
      <c r="E70" s="224">
        <f>VLOOKUP(TCO_calc_table8[[#This Row],[Product]],TCO_calc_table1[#All],2,FALSE)</f>
        <v>2173800</v>
      </c>
      <c r="F70" s="136">
        <f>VLOOKUP(TCO_calc_table8[[#This Row],[Product]],TCO_Calc_table4[#All],4,FALSE)</f>
        <v>0.96755286090621706</v>
      </c>
      <c r="G70" s="193">
        <f>VLOOKUP(TCO_calc_table8[Product],TCO_calc_table1[#All],8,FALSE)</f>
        <v>3618300</v>
      </c>
      <c r="H70" s="194">
        <f>TCO_calc_table8[[#This Row],[3-Year TCO]]/(TCO_calc_table8[[#This Row],[NSS-Tested Throughput (Mbps)]]*TCO_calc_table8[[#This Row],[Exploit Block Rate]]*Inputs_table1[NGIPS])</f>
        <v>20.39462838947161</v>
      </c>
    </row>
    <row r="71" spans="1:9">
      <c r="B71" s="133" t="str">
        <f>Comb_scrd[[#Headers],[IBM Security Network Protection XGS 7100]]</f>
        <v>IBM Security Network Protection XGS 7100</v>
      </c>
      <c r="C71" s="198">
        <f>VLOOKUP(TCO_calc_table8[[#This Row],[Product]],TCO_calc_table2[#All],2,FALSE)</f>
        <v>20000</v>
      </c>
      <c r="D71" s="208">
        <f>VLOOKUP(TCO_calc_table8[[#This Row],[Product]],Perf_table1[#All],2,FALSE)</f>
        <v>24194</v>
      </c>
      <c r="E71" s="224">
        <f>VLOOKUP(TCO_calc_table8[[#This Row],[Product]],TCO_calc_table1[#All],2,FALSE)</f>
        <v>5678480</v>
      </c>
      <c r="F71" s="136">
        <f>VLOOKUP(TCO_calc_table8[[#This Row],[Product]],TCO_Calc_table4[#All],4,FALSE)</f>
        <v>0.96755286090621706</v>
      </c>
      <c r="G71" s="193">
        <f>VLOOKUP(TCO_calc_table8[Product],TCO_calc_table1[#All],8,FALSE)</f>
        <v>9430940</v>
      </c>
      <c r="H71" s="194">
        <f>TCO_calc_table8[[#This Row],[3-Year TCO]]/(TCO_calc_table8[[#This Row],[NSS-Tested Throughput (Mbps)]]*TCO_calc_table8[[#This Row],[Exploit Block Rate]]*Inputs_table1[NGIPS])</f>
        <v>20.14385601336793</v>
      </c>
    </row>
    <row r="72" spans="1:9">
      <c r="B72" s="133" t="str">
        <f>Comb_scrd[[#Headers],[Palo Alto Networks PA-5020]]</f>
        <v>Palo Alto Networks PA-5020</v>
      </c>
      <c r="C72" s="198">
        <f>VLOOKUP(TCO_calc_table8[[#This Row],[Product]],TCO_calc_table2[#All],2,FALSE)</f>
        <v>2000</v>
      </c>
      <c r="D72" s="208">
        <f>VLOOKUP(TCO_calc_table8[[#This Row],[Product]],Perf_table1[#All],2,FALSE)</f>
        <v>2972.82</v>
      </c>
      <c r="E72" s="224">
        <f>VLOOKUP(TCO_calc_table8[[#This Row],[Product]],TCO_calc_table1[#All],2,FALSE)</f>
        <v>850000</v>
      </c>
      <c r="F72" s="136">
        <f>VLOOKUP(TCO_calc_table8[[#This Row],[Product]],TCO_Calc_table4[#All],4,FALSE)</f>
        <v>0.987881981032666</v>
      </c>
      <c r="G72" s="193">
        <f>VLOOKUP(TCO_calc_table8[Product],TCO_calc_table1[#All],8,FALSE)</f>
        <v>1486297.9999999998</v>
      </c>
      <c r="H72" s="194">
        <f>TCO_calc_table8[[#This Row],[3-Year TCO]]/(TCO_calc_table8[[#This Row],[NSS-Tested Throughput (Mbps)]]*TCO_calc_table8[[#This Row],[Exploit Block Rate]]*Inputs_table1[NGIPS])</f>
        <v>25.304759826248024</v>
      </c>
    </row>
    <row r="73" spans="1:9">
      <c r="H73" s="133"/>
      <c r="I73" s="133"/>
    </row>
    <row r="74" spans="1:9">
      <c r="B74" s="132" t="s">
        <v>404</v>
      </c>
      <c r="C74" s="188"/>
      <c r="D74" s="188"/>
      <c r="E74" s="188"/>
      <c r="F74" s="188"/>
      <c r="G74" s="188"/>
      <c r="H74" s="133"/>
      <c r="I74" s="133"/>
    </row>
    <row r="75" spans="1:9">
      <c r="B75" s="132" t="s">
        <v>665</v>
      </c>
      <c r="C75" s="188"/>
      <c r="D75" s="188"/>
      <c r="E75" s="188"/>
      <c r="F75" s="188"/>
      <c r="G75" s="188"/>
      <c r="H75" s="133"/>
      <c r="I75" s="133"/>
    </row>
    <row r="76" spans="1:9" ht="12.75" thickBot="1">
      <c r="A76" s="139" t="s">
        <v>434</v>
      </c>
      <c r="B76" s="182" t="s">
        <v>74</v>
      </c>
      <c r="C76" s="190" t="s">
        <v>440</v>
      </c>
      <c r="D76" s="227" t="s">
        <v>466</v>
      </c>
      <c r="E76" s="183" t="s">
        <v>465</v>
      </c>
      <c r="F76" s="229" t="s">
        <v>2</v>
      </c>
      <c r="G76" s="202" t="s">
        <v>668</v>
      </c>
      <c r="H76" s="133"/>
      <c r="I76" s="133"/>
    </row>
    <row r="77" spans="1:9">
      <c r="B77" s="133" t="str">
        <f>Comb_scrd[[#Headers],[Cisco FirePOWER 8350]]</f>
        <v>Cisco FirePOWER 8350</v>
      </c>
      <c r="C77" s="198">
        <f>VLOOKUP(TCO_calc_table9[[#This Row],[Product]],TCO_calc_table2[#All],2,FALSE)</f>
        <v>15000</v>
      </c>
      <c r="D77" s="198">
        <f>VLOOKUP(TCO_calc_table9[[#This Row],[Product]],Perf_table1[#All],2,FALSE)</f>
        <v>18532.8</v>
      </c>
      <c r="E77" s="224">
        <f>VLOOKUP(TCO_calc_table9[[#This Row],[Product]],TCO_calc_table1[#All],2,FALSE)</f>
        <v>4858595</v>
      </c>
      <c r="F77" s="136">
        <f>VLOOKUP(TCO_calc_table9[[#This Row],[Product]],IPS_Security_table9[#All],3,FALSE)</f>
        <v>0.99518408324552166</v>
      </c>
      <c r="G77" s="194">
        <f>TCO_calc_table9[[#This Row],[Purchase Price]]/(TCO_calc_table9[[#This Row],[NSS-Tested Throughput (Mbps)]]*TCO_calc_table9[[#This Row],[Security Effectiveness]]*Inputs_table1[NGIPS])</f>
        <v>13.171530529741171</v>
      </c>
    </row>
    <row r="78" spans="1:9">
      <c r="B78" s="133" t="str">
        <f>Comb_scrd[[#Headers],[Fortinet FortiGate-1500D]]</f>
        <v>Fortinet FortiGate-1500D</v>
      </c>
      <c r="C78" s="198">
        <f>VLOOKUP(TCO_calc_table9[[#This Row],[Product]],TCO_calc_table2[#All],2,FALSE)</f>
        <v>11000</v>
      </c>
      <c r="D78" s="208">
        <f>VLOOKUP(TCO_calc_table9[[#This Row],[Product]],Perf_table1[#All],2,FALSE)</f>
        <v>11726.8</v>
      </c>
      <c r="E78" s="224">
        <f>VLOOKUP(TCO_calc_table9[[#This Row],[Product]],TCO_calc_table1[#All],2,FALSE)</f>
        <v>506958</v>
      </c>
      <c r="F78" s="136">
        <f>VLOOKUP(TCO_calc_table9[[#This Row],[Product]],IPS_Security_table9[#All],3,FALSE)</f>
        <v>0.99160531305383703</v>
      </c>
      <c r="G78" s="194">
        <f>TCO_calc_table9[[#This Row],[Purchase Price]]/(TCO_calc_table9[[#This Row],[NSS-Tested Throughput (Mbps)]]*TCO_calc_table9[[#This Row],[Security Effectiveness]]*Inputs_table1[NGIPS])</f>
        <v>2.1798350013221577</v>
      </c>
    </row>
    <row r="79" spans="1:9">
      <c r="B79" s="133" t="str">
        <f>Comb_scrd[[#Headers],[HP TippingPoint S7500NX]]</f>
        <v>HP TippingPoint S7500NX</v>
      </c>
      <c r="C79" s="198">
        <f>VLOOKUP(TCO_calc_table9[[#This Row],[Product]],TCO_calc_table2[#All],2,FALSE)</f>
        <v>20000</v>
      </c>
      <c r="D79" s="198">
        <f>VLOOKUP(TCO_calc_table9[[#This Row],[Product]],Perf_table1[#All],2,FALSE)</f>
        <v>18694.400000000001</v>
      </c>
      <c r="E79" s="224">
        <f>VLOOKUP(TCO_calc_table9[[#This Row],[Product]],TCO_calc_table1[#All],2,FALSE)</f>
        <v>4042416</v>
      </c>
      <c r="F79" s="136">
        <f>VLOOKUP(TCO_calc_table9[[#This Row],[Product]],IPS_Security_table9[#All],3,FALSE)</f>
        <v>0.86619640834260148</v>
      </c>
      <c r="G79" s="194">
        <f>TCO_calc_table9[[#This Row],[Purchase Price]]/(TCO_calc_table9[[#This Row],[NSS-Tested Throughput (Mbps)]]*TCO_calc_table9[[#This Row],[Security Effectiveness]]*Inputs_table1[NGIPS])</f>
        <v>12.481968980277754</v>
      </c>
    </row>
    <row r="80" spans="1:9">
      <c r="B80" s="133" t="str">
        <f>Comb_scrd[[#Headers],[IBM Security Network Protection XGS 5100]]</f>
        <v>IBM Security Network Protection XGS 5100</v>
      </c>
      <c r="C80" s="198">
        <f>VLOOKUP(TCO_calc_table9[[#This Row],[Product]],TCO_calc_table2[#All],2,FALSE)</f>
        <v>7000</v>
      </c>
      <c r="D80" s="208">
        <f>VLOOKUP(TCO_calc_table9[[#This Row],[Product]],Perf_table1[#All],2,FALSE)</f>
        <v>9168.2000000000007</v>
      </c>
      <c r="E80" s="224">
        <f>VLOOKUP(TCO_calc_table9[[#This Row],[Product]],TCO_calc_table1[#All],2,FALSE)</f>
        <v>2173800</v>
      </c>
      <c r="F80" s="136">
        <f>VLOOKUP(TCO_calc_table9[[#This Row],[Product]],IPS_Security_table9[#All],3,FALSE)</f>
        <v>0.96755286090621706</v>
      </c>
      <c r="G80" s="194">
        <f>TCO_calc_table9[[#This Row],[Purchase Price]]/(TCO_calc_table9[[#This Row],[NSS-Tested Throughput (Mbps)]]*TCO_calc_table9[[#This Row],[Security Effectiveness]]*Inputs_table1[NGIPS])</f>
        <v>12.252672026375199</v>
      </c>
    </row>
    <row r="81" spans="1:8">
      <c r="B81" s="133" t="str">
        <f>Comb_scrd[[#Headers],[IBM Security Network Protection XGS 7100]]</f>
        <v>IBM Security Network Protection XGS 7100</v>
      </c>
      <c r="C81" s="198">
        <f>VLOOKUP(TCO_calc_table9[[#This Row],[Product]],TCO_calc_table2[#All],2,FALSE)</f>
        <v>20000</v>
      </c>
      <c r="D81" s="208">
        <f>VLOOKUP(TCO_calc_table9[[#This Row],[Product]],Perf_table1[#All],2,FALSE)</f>
        <v>24194</v>
      </c>
      <c r="E81" s="224">
        <f>VLOOKUP(TCO_calc_table9[[#This Row],[Product]],TCO_calc_table1[#All],2,FALSE)</f>
        <v>5678480</v>
      </c>
      <c r="F81" s="136">
        <f>VLOOKUP(TCO_calc_table9[[#This Row],[Product]],IPS_Security_table9[#All],3,FALSE)</f>
        <v>0.96755286090621706</v>
      </c>
      <c r="G81" s="194">
        <f>TCO_calc_table9[[#This Row],[Purchase Price]]/(TCO_calc_table9[[#This Row],[NSS-Tested Throughput (Mbps)]]*TCO_calc_table9[[#This Row],[Security Effectiveness]]*Inputs_table1[NGIPS])</f>
        <v>12.128852849746636</v>
      </c>
    </row>
    <row r="82" spans="1:8">
      <c r="B82" s="133" t="str">
        <f>Comb_scrd[[#Headers],[Palo Alto Networks PA-5020]]</f>
        <v>Palo Alto Networks PA-5020</v>
      </c>
      <c r="C82" s="198">
        <f>VLOOKUP(TCO_calc_table9[[#This Row],[Product]],TCO_calc_table2[#All],2,FALSE)</f>
        <v>2000</v>
      </c>
      <c r="D82" s="208">
        <f>VLOOKUP(TCO_calc_table9[[#This Row],[Product]],Perf_table1[#All],2,FALSE)</f>
        <v>2972.82</v>
      </c>
      <c r="E82" s="224">
        <f>VLOOKUP(TCO_calc_table9[[#This Row],[Product]],TCO_calc_table1[#All],2,FALSE)</f>
        <v>850000</v>
      </c>
      <c r="F82" s="136">
        <f>VLOOKUP(TCO_calc_table9[[#This Row],[Product]],IPS_Security_table9[#All],3,FALSE)</f>
        <v>0.987881981032666</v>
      </c>
      <c r="G82" s="194">
        <f>TCO_calc_table9[[#This Row],[Purchase Price]]/(TCO_calc_table9[[#This Row],[NSS-Tested Throughput (Mbps)]]*TCO_calc_table9[[#This Row],[Security Effectiveness]]*Inputs_table1[NGIPS])</f>
        <v>14.471556748586639</v>
      </c>
    </row>
    <row r="83" spans="1:8">
      <c r="B83" s="186"/>
      <c r="C83" s="199"/>
      <c r="D83" s="230"/>
      <c r="E83" s="231"/>
      <c r="F83" s="207"/>
      <c r="G83" s="232"/>
    </row>
    <row r="84" spans="1:8">
      <c r="B84" s="132" t="s">
        <v>403</v>
      </c>
      <c r="C84" s="188"/>
      <c r="D84" s="188"/>
      <c r="E84" s="188"/>
      <c r="F84" s="188"/>
      <c r="G84" s="188"/>
      <c r="H84" s="188"/>
    </row>
    <row r="85" spans="1:8" ht="12.75" thickBot="1">
      <c r="A85" s="139" t="s">
        <v>435</v>
      </c>
      <c r="B85" s="182" t="s">
        <v>74</v>
      </c>
      <c r="C85" s="190" t="s">
        <v>440</v>
      </c>
      <c r="D85" s="227" t="s">
        <v>466</v>
      </c>
      <c r="E85" s="183" t="s">
        <v>465</v>
      </c>
      <c r="F85" s="229" t="s">
        <v>2</v>
      </c>
      <c r="G85" s="184" t="s">
        <v>422</v>
      </c>
      <c r="H85" s="191" t="s">
        <v>489</v>
      </c>
    </row>
    <row r="86" spans="1:8">
      <c r="B86" s="133" t="str">
        <f>Comb_scrd[[#Headers],[Cisco FirePOWER 8350]]</f>
        <v>Cisco FirePOWER 8350</v>
      </c>
      <c r="C86" s="198">
        <f>VLOOKUP(TCO_calc_table10[[#This Row],[Product]],TCO_calc_table2[#All],2,FALSE)</f>
        <v>15000</v>
      </c>
      <c r="D86" s="198">
        <f>VLOOKUP(TCO_calc_table10[[#This Row],[Product]],Perf_table1[#All],2,FALSE)</f>
        <v>18532.8</v>
      </c>
      <c r="E86" s="224">
        <f>VLOOKUP(TCO_calc_table10[[#This Row],[Product]],TCO_calc_table1[#All],2,FALSE)</f>
        <v>4858595</v>
      </c>
      <c r="F86" s="136">
        <f>VLOOKUP(TCO_calc_table10[[#This Row],[Product]],TCO_calc_table9[#All],5,FALSE)</f>
        <v>0.99518408324552166</v>
      </c>
      <c r="G86" s="193">
        <f>VLOOKUP(TCO_calc_table10[Product],TCO_calc_table1[#All],8,FALSE)</f>
        <v>6039191.9999999981</v>
      </c>
      <c r="H86" s="194">
        <f>TCO_calc_table10[[#This Row],[3-Year TCO]]/(TCO_calc_table10[[#This Row],[NSS-Tested Throughput (Mbps)]]*TCO_calc_table10[[#This Row],[Security Effectiveness]]*Inputs_table1[NGIPS])</f>
        <v>16.372099712564768</v>
      </c>
    </row>
    <row r="87" spans="1:8">
      <c r="B87" s="133" t="str">
        <f>Comb_scrd[[#Headers],[Fortinet FortiGate-1500D]]</f>
        <v>Fortinet FortiGate-1500D</v>
      </c>
      <c r="C87" s="198">
        <f>VLOOKUP(TCO_calc_table10[[#This Row],[Product]],TCO_calc_table2[#All],2,FALSE)</f>
        <v>11000</v>
      </c>
      <c r="D87" s="208">
        <f>VLOOKUP(TCO_calc_table10[[#This Row],[Product]],Perf_table1[#All],2,FALSE)</f>
        <v>11726.8</v>
      </c>
      <c r="E87" s="224">
        <f>VLOOKUP(TCO_calc_table10[[#This Row],[Product]],TCO_calc_table1[#All],2,FALSE)</f>
        <v>506958</v>
      </c>
      <c r="F87" s="136">
        <f>VLOOKUP(TCO_calc_table10[[#This Row],[Product]],TCO_calc_table9[#All],5,FALSE)</f>
        <v>0.99160531305383703</v>
      </c>
      <c r="G87" s="193">
        <f>VLOOKUP(TCO_calc_table10[Product],TCO_calc_table1[#All],8,FALSE)</f>
        <v>1151691</v>
      </c>
      <c r="H87" s="194">
        <f>TCO_calc_table10[[#This Row],[3-Year TCO]]/(TCO_calc_table10[[#This Row],[NSS-Tested Throughput (Mbps)]]*TCO_calc_table10[[#This Row],[Security Effectiveness]]*Inputs_table1[NGIPS])</f>
        <v>4.9520795657780665</v>
      </c>
    </row>
    <row r="88" spans="1:8">
      <c r="B88" s="133" t="str">
        <f>Comb_scrd[[#Headers],[HP TippingPoint S7500NX]]</f>
        <v>HP TippingPoint S7500NX</v>
      </c>
      <c r="C88" s="198">
        <f>VLOOKUP(TCO_calc_table10[[#This Row],[Product]],TCO_calc_table2[#All],2,FALSE)</f>
        <v>20000</v>
      </c>
      <c r="D88" s="198">
        <f>VLOOKUP(TCO_calc_table10[[#This Row],[Product]],Perf_table1[#All],2,FALSE)</f>
        <v>18694.400000000001</v>
      </c>
      <c r="E88" s="224">
        <f>VLOOKUP(TCO_calc_table10[[#This Row],[Product]],TCO_calc_table1[#All],2,FALSE)</f>
        <v>4042416</v>
      </c>
      <c r="F88" s="136">
        <f>VLOOKUP(TCO_calc_table10[[#This Row],[Product]],TCO_calc_table9[#All],5,FALSE)</f>
        <v>0.86619640834260148</v>
      </c>
      <c r="G88" s="193">
        <f>VLOOKUP(TCO_calc_table10[Product],TCO_calc_table1[#All],8,FALSE)</f>
        <v>6530568</v>
      </c>
      <c r="H88" s="194">
        <f>TCO_calc_table10[[#This Row],[3-Year TCO]]/(TCO_calc_table10[[#This Row],[NSS-Tested Throughput (Mbps)]]*TCO_calc_table10[[#This Row],[Security Effectiveness]]*Inputs_table1[NGIPS])</f>
        <v>20.164759688165329</v>
      </c>
    </row>
    <row r="89" spans="1:8">
      <c r="B89" s="133" t="str">
        <f>Comb_scrd[[#Headers],[IBM Security Network Protection XGS 5100]]</f>
        <v>IBM Security Network Protection XGS 5100</v>
      </c>
      <c r="C89" s="198">
        <f>VLOOKUP(TCO_calc_table10[[#This Row],[Product]],TCO_calc_table2[#All],2,FALSE)</f>
        <v>7000</v>
      </c>
      <c r="D89" s="208">
        <f>VLOOKUP(TCO_calc_table10[[#This Row],[Product]],Perf_table1[#All],2,FALSE)</f>
        <v>9168.2000000000007</v>
      </c>
      <c r="E89" s="224">
        <f>VLOOKUP(TCO_calc_table10[[#This Row],[Product]],TCO_calc_table1[#All],2,FALSE)</f>
        <v>2173800</v>
      </c>
      <c r="F89" s="136">
        <f>VLOOKUP(TCO_calc_table10[[#This Row],[Product]],TCO_calc_table9[#All],5,FALSE)</f>
        <v>0.96755286090621706</v>
      </c>
      <c r="G89" s="193">
        <f>VLOOKUP(TCO_calc_table10[Product],TCO_calc_table1[#All],8,FALSE)</f>
        <v>3618300</v>
      </c>
      <c r="H89" s="194">
        <f>TCO_calc_table10[[#This Row],[3-Year TCO]]/(TCO_calc_table10[[#This Row],[NSS-Tested Throughput (Mbps)]]*TCO_calc_table10[[#This Row],[Security Effectiveness]]*Inputs_table1[NGIPS])</f>
        <v>20.39462838947161</v>
      </c>
    </row>
    <row r="90" spans="1:8">
      <c r="B90" s="133" t="str">
        <f>Comb_scrd[[#Headers],[IBM Security Network Protection XGS 7100]]</f>
        <v>IBM Security Network Protection XGS 7100</v>
      </c>
      <c r="C90" s="198">
        <f>VLOOKUP(TCO_calc_table10[[#This Row],[Product]],TCO_calc_table2[#All],2,FALSE)</f>
        <v>20000</v>
      </c>
      <c r="D90" s="208">
        <f>VLOOKUP(TCO_calc_table10[[#This Row],[Product]],Perf_table1[#All],2,FALSE)</f>
        <v>24194</v>
      </c>
      <c r="E90" s="224">
        <f>VLOOKUP(TCO_calc_table10[[#This Row],[Product]],TCO_calc_table1[#All],2,FALSE)</f>
        <v>5678480</v>
      </c>
      <c r="F90" s="136">
        <f>VLOOKUP(TCO_calc_table10[[#This Row],[Product]],TCO_calc_table9[#All],5,FALSE)</f>
        <v>0.96755286090621706</v>
      </c>
      <c r="G90" s="193">
        <f>VLOOKUP(TCO_calc_table10[Product],TCO_calc_table1[#All],8,FALSE)</f>
        <v>9430940</v>
      </c>
      <c r="H90" s="194">
        <f>TCO_calc_table10[[#This Row],[3-Year TCO]]/(TCO_calc_table10[[#This Row],[NSS-Tested Throughput (Mbps)]]*TCO_calc_table10[[#This Row],[Security Effectiveness]]*Inputs_table1[NGIPS])</f>
        <v>20.14385601336793</v>
      </c>
    </row>
    <row r="91" spans="1:8">
      <c r="B91" s="133" t="str">
        <f>Comb_scrd[[#Headers],[Palo Alto Networks PA-5020]]</f>
        <v>Palo Alto Networks PA-5020</v>
      </c>
      <c r="C91" s="198">
        <f>VLOOKUP(TCO_calc_table10[[#This Row],[Product]],TCO_calc_table2[#All],2,FALSE)</f>
        <v>2000</v>
      </c>
      <c r="D91" s="208">
        <f>VLOOKUP(TCO_calc_table10[[#This Row],[Product]],Perf_table1[#All],2,FALSE)</f>
        <v>2972.82</v>
      </c>
      <c r="E91" s="224">
        <f>VLOOKUP(TCO_calc_table10[[#This Row],[Product]],TCO_calc_table1[#All],2,FALSE)</f>
        <v>850000</v>
      </c>
      <c r="F91" s="136">
        <f>VLOOKUP(TCO_calc_table10[[#This Row],[Product]],TCO_calc_table9[#All],5,FALSE)</f>
        <v>0.987881981032666</v>
      </c>
      <c r="G91" s="193">
        <f>VLOOKUP(TCO_calc_table10[Product],TCO_calc_table1[#All],8,FALSE)</f>
        <v>1486297.9999999998</v>
      </c>
      <c r="H91" s="194">
        <f>TCO_calc_table10[[#This Row],[3-Year TCO]]/(TCO_calc_table10[[#This Row],[NSS-Tested Throughput (Mbps)]]*TCO_calc_table10[[#This Row],[Security Effectiveness]]*Inputs_table1[NGIPS])</f>
        <v>25.304759826248024</v>
      </c>
    </row>
    <row r="92" spans="1:8">
      <c r="B92" s="186"/>
      <c r="C92" s="198"/>
      <c r="D92" s="198"/>
      <c r="E92" s="224"/>
      <c r="F92" s="136"/>
      <c r="G92" s="193"/>
      <c r="H92" s="233"/>
    </row>
    <row r="93" spans="1:8">
      <c r="B93" s="186"/>
      <c r="C93" s="199"/>
      <c r="D93" s="230"/>
      <c r="E93" s="231"/>
      <c r="F93" s="207"/>
      <c r="G93" s="196"/>
      <c r="H93" s="232"/>
    </row>
    <row r="95" spans="1:8">
      <c r="B95" s="132" t="s">
        <v>471</v>
      </c>
      <c r="C95" s="188"/>
      <c r="D95" s="188"/>
      <c r="E95" s="188"/>
      <c r="F95" s="188"/>
      <c r="G95" s="189"/>
      <c r="H95" s="189"/>
    </row>
    <row r="96" spans="1:8">
      <c r="B96" s="234"/>
      <c r="C96" s="403" t="s">
        <v>440</v>
      </c>
      <c r="D96" s="403"/>
      <c r="E96" s="235" t="s">
        <v>466</v>
      </c>
      <c r="F96" s="236" t="s">
        <v>467</v>
      </c>
      <c r="G96" s="237"/>
      <c r="H96" s="237"/>
    </row>
    <row r="97" spans="1:9">
      <c r="A97" s="139" t="s">
        <v>436</v>
      </c>
      <c r="B97" s="238" t="s">
        <v>74</v>
      </c>
      <c r="C97" s="159" t="s">
        <v>667</v>
      </c>
      <c r="D97" s="159" t="s">
        <v>669</v>
      </c>
      <c r="E97" s="159" t="s">
        <v>670</v>
      </c>
      <c r="F97" s="239" t="s">
        <v>671</v>
      </c>
    </row>
    <row r="98" spans="1:9">
      <c r="B98" s="133" t="str">
        <f>Comb_scrd[[#Headers],[Cisco FirePOWER 8350]]</f>
        <v>Cisco FirePOWER 8350</v>
      </c>
      <c r="C98" s="240">
        <f>VLOOKUP(TCO_calc_Table11[[#This Row],[Product]],TCO_calc_table2[#All],4,FALSE)</f>
        <v>16.195316666666667</v>
      </c>
      <c r="D98" s="240">
        <f>VLOOKUP(TCO_calc_Table11[[#This Row],[Product]],TCO_Calc_table4[#All],5,FALSE)</f>
        <v>16.273689400105813</v>
      </c>
      <c r="E98" s="240">
        <f>VLOOKUP(TCO_calc_Table11[[#This Row],[Product]],TCO_calc_table7[#All],6,FALSE)</f>
        <v>13.171530529741171</v>
      </c>
      <c r="F98" s="241">
        <f>VLOOKUP(TCO_calc_Table11[[#This Row],[Product]],TCO_calc_table9[#All],6,FALSE)</f>
        <v>13.171530529741171</v>
      </c>
    </row>
    <row r="99" spans="1:9">
      <c r="B99" s="133" t="str">
        <f>Comb_scrd[[#Headers],[Fortinet FortiGate-1500D]]</f>
        <v>Fortinet FortiGate-1500D</v>
      </c>
      <c r="C99" s="200">
        <f>VLOOKUP(TCO_calc_Table11[[#This Row],[Product]],TCO_calc_table2[#All],4,FALSE)</f>
        <v>2.3043545454545455</v>
      </c>
      <c r="D99" s="200">
        <f>VLOOKUP(TCO_calc_Table11[[#This Row],[Product]],TCO_Calc_table4[#All],5,FALSE)</f>
        <v>2.3238626448640618</v>
      </c>
      <c r="E99" s="200">
        <f>VLOOKUP(TCO_calc_Table11[[#This Row],[Product]],TCO_calc_table7[#All],6,FALSE)</f>
        <v>2.1798350013221577</v>
      </c>
      <c r="F99" s="242">
        <f>VLOOKUP(TCO_calc_Table11[[#This Row],[Product]],TCO_calc_table9[#All],6,FALSE)</f>
        <v>2.1798350013221577</v>
      </c>
    </row>
    <row r="100" spans="1:9">
      <c r="B100" s="133" t="str">
        <f>Comb_scrd[[#Headers],[HP TippingPoint S7500NX]]</f>
        <v>HP TippingPoint S7500NX</v>
      </c>
      <c r="C100" s="200">
        <f>VLOOKUP(TCO_calc_Table11[[#This Row],[Product]],TCO_calc_table2[#All],4,FALSE)</f>
        <v>10.10604</v>
      </c>
      <c r="D100" s="200">
        <f>VLOOKUP(TCO_calc_Table11[[#This Row],[Product]],TCO_Calc_table4[#All],5,FALSE)</f>
        <v>11.667146045245223</v>
      </c>
      <c r="E100" s="200">
        <f>VLOOKUP(TCO_calc_Table11[[#This Row],[Product]],TCO_calc_table7[#All],6,FALSE)</f>
        <v>12.481968980277754</v>
      </c>
      <c r="F100" s="242">
        <f>VLOOKUP(TCO_calc_Table11[[#This Row],[Product]],TCO_calc_table9[#All],6,FALSE)</f>
        <v>12.481968980277754</v>
      </c>
    </row>
    <row r="101" spans="1:9">
      <c r="B101" s="133" t="str">
        <f>Comb_scrd[[#Headers],[IBM Security Network Protection XGS 5100]]</f>
        <v>IBM Security Network Protection XGS 5100</v>
      </c>
      <c r="C101" s="200">
        <f>VLOOKUP(TCO_calc_Table11[[#This Row],[Product]],TCO_calc_table2[#All],4,FALSE)</f>
        <v>15.527142857142858</v>
      </c>
      <c r="D101" s="200">
        <f>VLOOKUP(TCO_calc_Table11[[#This Row],[Product]],TCO_Calc_table4[#All],5,FALSE)</f>
        <v>16.047849667459019</v>
      </c>
      <c r="E101" s="200">
        <f>VLOOKUP(TCO_calc_Table11[[#This Row],[Product]],TCO_calc_table7[#All],6,FALSE)</f>
        <v>12.252672026375199</v>
      </c>
      <c r="F101" s="242">
        <f>VLOOKUP(TCO_calc_Table11[[#This Row],[Product]],TCO_calc_table9[#All],6,FALSE)</f>
        <v>12.252672026375199</v>
      </c>
    </row>
    <row r="102" spans="1:9">
      <c r="B102" s="133" t="str">
        <f>Comb_scrd[[#Headers],[IBM Security Network Protection XGS 7100]]</f>
        <v>IBM Security Network Protection XGS 7100</v>
      </c>
      <c r="C102" s="200">
        <f>VLOOKUP(TCO_calc_Table11[[#This Row],[Product]],TCO_calc_table2[#All],4,FALSE)</f>
        <v>14.196199999999999</v>
      </c>
      <c r="D102" s="200">
        <f>VLOOKUP(TCO_calc_Table11[[#This Row],[Product]],TCO_Calc_table4[#All],5,FALSE)</f>
        <v>14.672273292338506</v>
      </c>
      <c r="E102" s="200">
        <f>VLOOKUP(TCO_calc_Table11[[#This Row],[Product]],TCO_calc_table7[#All],6,FALSE)</f>
        <v>12.128852849746636</v>
      </c>
      <c r="F102" s="242">
        <f>VLOOKUP(TCO_calc_Table11[[#This Row],[Product]],TCO_calc_table9[#All],6,FALSE)</f>
        <v>12.128852849746636</v>
      </c>
    </row>
    <row r="103" spans="1:9">
      <c r="B103" s="133" t="str">
        <f>Comb_scrd[[#Headers],[Palo Alto Networks PA-5020]]</f>
        <v>Palo Alto Networks PA-5020</v>
      </c>
      <c r="C103" s="200">
        <f>VLOOKUP(TCO_calc_Table11[[#This Row],[Product]],TCO_calc_table2[#All],4,FALSE)</f>
        <v>21.25</v>
      </c>
      <c r="D103" s="200">
        <f>VLOOKUP(TCO_calc_Table11[[#This Row],[Product]],TCO_Calc_table4[#All],5,FALSE)</f>
        <v>21.510666666666665</v>
      </c>
      <c r="E103" s="200">
        <f>VLOOKUP(TCO_calc_Table11[[#This Row],[Product]],TCO_calc_table7[#All],6,FALSE)</f>
        <v>14.471556748586639</v>
      </c>
      <c r="F103" s="242">
        <f>VLOOKUP(TCO_calc_Table11[[#This Row],[Product]],TCO_calc_table9[#All],6,FALSE)</f>
        <v>14.471556748586639</v>
      </c>
    </row>
    <row r="104" spans="1:9" ht="12.75" thickBot="1">
      <c r="B104" s="172"/>
      <c r="C104" s="243"/>
      <c r="D104" s="196"/>
      <c r="E104" s="196"/>
      <c r="F104" s="196"/>
    </row>
    <row r="105" spans="1:9" ht="29.1" customHeight="1" thickBot="1">
      <c r="B105" s="244"/>
      <c r="C105" s="404" t="s">
        <v>440</v>
      </c>
      <c r="D105" s="405"/>
      <c r="E105" s="245" t="s">
        <v>466</v>
      </c>
      <c r="F105" s="244" t="s">
        <v>467</v>
      </c>
    </row>
    <row r="106" spans="1:9" ht="12.75" thickBot="1">
      <c r="A106" s="139" t="s">
        <v>437</v>
      </c>
      <c r="B106" s="182" t="s">
        <v>74</v>
      </c>
      <c r="C106" s="246" t="s">
        <v>496</v>
      </c>
      <c r="D106" s="247" t="s">
        <v>489</v>
      </c>
      <c r="E106" s="248" t="s">
        <v>497</v>
      </c>
      <c r="F106" s="248" t="s">
        <v>498</v>
      </c>
    </row>
    <row r="107" spans="1:9">
      <c r="B107" s="133" t="str">
        <f>Comb_scrd[[#Headers],[Cisco FirePOWER 8350]]</f>
        <v>Cisco FirePOWER 8350</v>
      </c>
      <c r="C107" s="194">
        <f>VLOOKUP(TCO_calc_table12[[#This Row],[Product]],TCO_calc_table3[#All],5,FALSE)</f>
        <v>20.130639999999993</v>
      </c>
      <c r="D107" s="194">
        <f>VLOOKUP(TCO_calc_table12[[#This Row],[Product]],TCO_calc_table5[#All],6,FALSE)</f>
        <v>20.228056636868022</v>
      </c>
      <c r="E107" s="194">
        <f>VLOOKUP(TCO_calc_table12[[#This Row],[Product]],TCO_calc_table8[#All],7,FALSE)</f>
        <v>16.372099712564768</v>
      </c>
      <c r="F107" s="194">
        <f>VLOOKUP(TCO_calc_table12[[#This Row],[Product]],TCO_calc_table10[#All],7,FALSE)</f>
        <v>16.372099712564768</v>
      </c>
      <c r="I107" s="193"/>
    </row>
    <row r="108" spans="1:9">
      <c r="B108" s="133" t="str">
        <f>Comb_scrd[[#Headers],[Fortinet FortiGate-1500D]]</f>
        <v>Fortinet FortiGate-1500D</v>
      </c>
      <c r="C108" s="240">
        <f>VLOOKUP(TCO_calc_table12[[#This Row],[Product]],TCO_calc_table3[#All],5,FALSE)</f>
        <v>5.2349590909090908</v>
      </c>
      <c r="D108" s="194">
        <f>VLOOKUP(TCO_calc_table12[[#This Row],[Product]],TCO_calc_table5[#All],6,FALSE)</f>
        <v>5.2792769683605663</v>
      </c>
      <c r="E108" s="194">
        <f>VLOOKUP(TCO_calc_table12[[#This Row],[Product]],TCO_calc_table8[#All],7,FALSE)</f>
        <v>4.9520795657780665</v>
      </c>
      <c r="F108" s="194">
        <f>VLOOKUP(TCO_calc_table12[[#This Row],[Product]],TCO_calc_table10[#All],7,FALSE)</f>
        <v>4.9520795657780665</v>
      </c>
      <c r="I108" s="193"/>
    </row>
    <row r="109" spans="1:9">
      <c r="B109" s="133" t="str">
        <f>Comb_scrd[[#Headers],[HP TippingPoint S7500NX]]</f>
        <v>HP TippingPoint S7500NX</v>
      </c>
      <c r="C109" s="194">
        <f>VLOOKUP(TCO_calc_table12[[#This Row],[Product]],TCO_calc_table3[#All],5,FALSE)</f>
        <v>16.326419999999999</v>
      </c>
      <c r="D109" s="194">
        <f>VLOOKUP(TCO_calc_table12[[#This Row],[Product]],TCO_calc_table5[#All],6,FALSE)</f>
        <v>18.848404175721896</v>
      </c>
      <c r="E109" s="194">
        <f>VLOOKUP(TCO_calc_table12[[#This Row],[Product]],TCO_calc_table8[#All],7,FALSE)</f>
        <v>20.164759688165329</v>
      </c>
      <c r="F109" s="194">
        <f>VLOOKUP(TCO_calc_table12[[#This Row],[Product]],TCO_calc_table10[#All],7,FALSE)</f>
        <v>20.164759688165329</v>
      </c>
      <c r="I109" s="193"/>
    </row>
    <row r="110" spans="1:9">
      <c r="B110" s="133" t="str">
        <f>Comb_scrd[[#Headers],[IBM Security Network Protection XGS 5100]]</f>
        <v>IBM Security Network Protection XGS 5100</v>
      </c>
      <c r="C110" s="240">
        <f>VLOOKUP(TCO_calc_table12[[#This Row],[Product]],TCO_calc_table3[#All],5,FALSE)</f>
        <v>25.844999999999999</v>
      </c>
      <c r="D110" s="194">
        <f>VLOOKUP(TCO_calc_table12[[#This Row],[Product]],TCO_calc_table5[#All],6,FALSE)</f>
        <v>26.711718857193379</v>
      </c>
      <c r="E110" s="194">
        <f>VLOOKUP(TCO_calc_table12[[#This Row],[Product]],TCO_calc_table8[#All],7,FALSE)</f>
        <v>20.39462838947161</v>
      </c>
      <c r="F110" s="194">
        <f>VLOOKUP(TCO_calc_table12[[#This Row],[Product]],TCO_calc_table10[#All],7,FALSE)</f>
        <v>20.39462838947161</v>
      </c>
      <c r="I110" s="193"/>
    </row>
    <row r="111" spans="1:9">
      <c r="B111" s="133" t="str">
        <f>Comb_scrd[[#Headers],[IBM Security Network Protection XGS 7100]]</f>
        <v>IBM Security Network Protection XGS 7100</v>
      </c>
      <c r="C111" s="240">
        <f>VLOOKUP(TCO_calc_table12[[#This Row],[Product]],TCO_calc_table3[#All],5,FALSE)</f>
        <v>23.577349999999999</v>
      </c>
      <c r="D111" s="194">
        <f>VLOOKUP(TCO_calc_table12[[#This Row],[Product]],TCO_calc_table5[#All],6,FALSE)</f>
        <v>24.368022619371189</v>
      </c>
      <c r="E111" s="194">
        <f>VLOOKUP(TCO_calc_table12[[#This Row],[Product]],TCO_calc_table8[#All],7,FALSE)</f>
        <v>20.14385601336793</v>
      </c>
      <c r="F111" s="194">
        <f>VLOOKUP(TCO_calc_table12[[#This Row],[Product]],TCO_calc_table10[#All],7,FALSE)</f>
        <v>20.14385601336793</v>
      </c>
      <c r="I111" s="193"/>
    </row>
    <row r="112" spans="1:9">
      <c r="B112" s="133" t="str">
        <f>Comb_scrd[[#Headers],[Palo Alto Networks PA-5020]]</f>
        <v>Palo Alto Networks PA-5020</v>
      </c>
      <c r="C112" s="240">
        <f>VLOOKUP(TCO_calc_table12[[#This Row],[Product]],TCO_calc_table3[#All],5,FALSE)</f>
        <v>37.157449999999997</v>
      </c>
      <c r="D112" s="194">
        <f>VLOOKUP(TCO_calc_table12[[#This Row],[Product]],TCO_calc_table5[#All],6,FALSE)</f>
        <v>37.613248053333322</v>
      </c>
      <c r="E112" s="194">
        <f>VLOOKUP(TCO_calc_table12[[#This Row],[Product]],TCO_calc_table8[#All],7,FALSE)</f>
        <v>25.304759826248024</v>
      </c>
      <c r="F112" s="194">
        <f>VLOOKUP(TCO_calc_table12[[#This Row],[Product]],TCO_calc_table10[#All],7,FALSE)</f>
        <v>25.304759826248024</v>
      </c>
      <c r="I112" s="193"/>
    </row>
    <row r="113" spans="1:9">
      <c r="B113" s="249" t="s">
        <v>126</v>
      </c>
      <c r="C113" s="250">
        <f>AVERAGE(TCO_calc_table12[TCO per Mbps])</f>
        <v>21.378636515151513</v>
      </c>
      <c r="D113" s="250">
        <f>AVERAGE(TCO_calc_table12[TCO per Protected-Mbps])</f>
        <v>22.174787885141399</v>
      </c>
      <c r="E113" s="250">
        <f>AVERAGE(TCO_calc_table12[TCO per Protected-Mbps ])</f>
        <v>17.888697199265952</v>
      </c>
      <c r="F113" s="250">
        <f>AVERAGE(TCO_calc_table12[TCO per Protected-Mbps  ])</f>
        <v>17.888697199265952</v>
      </c>
      <c r="G113" s="193"/>
      <c r="H113" s="193"/>
      <c r="I113" s="193"/>
    </row>
    <row r="114" spans="1:9">
      <c r="B114" s="251"/>
      <c r="C114" s="196"/>
      <c r="D114" s="196"/>
      <c r="E114" s="196"/>
      <c r="F114" s="196"/>
      <c r="G114" s="193"/>
      <c r="H114" s="193"/>
      <c r="I114" s="193"/>
    </row>
    <row r="115" spans="1:9" ht="12.75" thickBot="1">
      <c r="B115" s="132" t="s">
        <v>672</v>
      </c>
      <c r="C115" s="188"/>
      <c r="D115" s="188"/>
      <c r="E115" s="188"/>
      <c r="F115" s="188"/>
      <c r="G115" s="188"/>
      <c r="H115" s="188"/>
    </row>
    <row r="116" spans="1:9" ht="12.75" thickBot="1">
      <c r="B116" s="252"/>
      <c r="C116" s="316" t="s">
        <v>440</v>
      </c>
      <c r="D116" s="316" t="s">
        <v>467</v>
      </c>
      <c r="E116" s="252"/>
      <c r="F116" s="252"/>
      <c r="G116" s="252"/>
      <c r="H116" s="252"/>
    </row>
    <row r="117" spans="1:9" ht="12.75" thickBot="1">
      <c r="A117" s="139" t="s">
        <v>438</v>
      </c>
      <c r="B117" s="252" t="s">
        <v>74</v>
      </c>
      <c r="C117" s="191" t="s">
        <v>667</v>
      </c>
      <c r="D117" s="253" t="s">
        <v>668</v>
      </c>
      <c r="E117" s="183" t="s">
        <v>465</v>
      </c>
      <c r="F117" s="143" t="s">
        <v>460</v>
      </c>
      <c r="G117" s="143" t="s">
        <v>79</v>
      </c>
      <c r="H117" s="143" t="s">
        <v>78</v>
      </c>
    </row>
    <row r="118" spans="1:9">
      <c r="B118" s="133" t="str">
        <f>Comb_scrd[[#Headers],[Cisco FirePOWER 8350]]</f>
        <v>Cisco FirePOWER 8350</v>
      </c>
      <c r="C118" s="193">
        <f>VLOOKUP(TCO_calc_tabl13[[#This Row],[Product]],TCO_calc_table2[#All],4,FALSE)</f>
        <v>16.195316666666667</v>
      </c>
      <c r="D118" s="193">
        <f>VLOOKUP(TCO_calc_tabl13[[#This Row],[Product]],TCO_calc_table9[#All],6,FALSE)</f>
        <v>13.171530529741171</v>
      </c>
      <c r="E118" s="193">
        <f>VLOOKUP(TCO_calc_tabl13[[#This Row],[Product]],TCO_calc_table1[#All],2,FALSE)</f>
        <v>4858595</v>
      </c>
      <c r="F118" s="193">
        <f>TCO_calc_tabl13[[#This Row],[Purchase Price]]*TCO_calc_tabl13[[#Totals],[Purchase Price per Protected-Mbps]]/TCO_calc_tabl13[[#This Row],[Purchase Price per Protected-Mbps]]</f>
        <v>4561945.2823027596</v>
      </c>
      <c r="G118" s="193">
        <f>TCO_calc_tabl13[[#This Row],[Security Effectiveness Value]]-TCO_calc_tabl13[[#This Row],[Purchase Price]]</f>
        <v>-296649.71769724041</v>
      </c>
      <c r="H118" s="146">
        <f>TCO_calc_tabl13[[#This Row],[Delta]]/TCO_calc_tabl13[[#This Row],[Purchase Price]]</f>
        <v>-6.1056687724998775E-2</v>
      </c>
    </row>
    <row r="119" spans="1:9">
      <c r="B119" s="133" t="str">
        <f>Comb_scrd[[#Headers],[Fortinet FortiGate-1500D]]</f>
        <v>Fortinet FortiGate-1500D</v>
      </c>
      <c r="C119" s="193">
        <f>VLOOKUP(TCO_calc_tabl13[[#This Row],[Product]],TCO_calc_table2[#All],4,FALSE)</f>
        <v>2.3043545454545455</v>
      </c>
      <c r="D119" s="193">
        <f>VLOOKUP(TCO_calc_tabl13[[#This Row],[Product]],TCO_calc_table9[#All],6,FALSE)</f>
        <v>2.1798350013221577</v>
      </c>
      <c r="E119" s="193">
        <f>VLOOKUP(TCO_calc_tabl13[[#This Row],[Product]],TCO_calc_table1[#All],2,FALSE)</f>
        <v>506958</v>
      </c>
      <c r="F119" s="193">
        <f>TCO_calc_tabl13[[#This Row],[Purchase Price]]*TCO_calc_tabl13[[#Totals],[Purchase Price per Protected-Mbps]]/TCO_calc_tabl13[[#This Row],[Purchase Price per Protected-Mbps]]</f>
        <v>2876232.4047107012</v>
      </c>
      <c r="G119" s="209">
        <f>TCO_calc_tabl13[[#This Row],[Security Effectiveness Value]]-TCO_calc_tabl13[[#This Row],[Purchase Price]]</f>
        <v>2369274.4047107012</v>
      </c>
      <c r="H119" s="146">
        <f>TCO_calc_tabl13[[#This Row],[Delta]]/TCO_calc_tabl13[[#This Row],[Purchase Price]]</f>
        <v>4.673512213458908</v>
      </c>
    </row>
    <row r="120" spans="1:9">
      <c r="B120" s="133" t="str">
        <f>Comb_scrd[[#Headers],[HP TippingPoint S7500NX]]</f>
        <v>HP TippingPoint S7500NX</v>
      </c>
      <c r="C120" s="193">
        <f>VLOOKUP(TCO_calc_tabl13[[#This Row],[Product]],TCO_calc_table2[#All],4,FALSE)</f>
        <v>10.10604</v>
      </c>
      <c r="D120" s="193">
        <f>VLOOKUP(TCO_calc_tabl13[[#This Row],[Product]],TCO_calc_table9[#All],6,FALSE)</f>
        <v>12.481968980277754</v>
      </c>
      <c r="E120" s="193">
        <f>VLOOKUP(TCO_calc_tabl13[[#This Row],[Product]],TCO_calc_table1[#All],2,FALSE)</f>
        <v>4042416</v>
      </c>
      <c r="F120" s="193">
        <f>TCO_calc_tabl13[[#This Row],[Purchase Price]]*TCO_calc_tabl13[[#Totals],[Purchase Price per Protected-Mbps]]/TCO_calc_tabl13[[#This Row],[Purchase Price per Protected-Mbps]]</f>
        <v>4005285.8934971103</v>
      </c>
      <c r="G120" s="193">
        <f>TCO_calc_tabl13[[#This Row],[Security Effectiveness Value]]-TCO_calc_tabl13[[#This Row],[Purchase Price]]</f>
        <v>-37130.106502889656</v>
      </c>
      <c r="H120" s="146">
        <f>TCO_calc_tabl13[[#This Row],[Delta]]/TCO_calc_tabl13[[#This Row],[Purchase Price]]</f>
        <v>-9.1851275333586779E-3</v>
      </c>
    </row>
    <row r="121" spans="1:9">
      <c r="B121" s="133" t="str">
        <f>Comb_scrd[[#Headers],[IBM Security Network Protection XGS 5100]]</f>
        <v>IBM Security Network Protection XGS 5100</v>
      </c>
      <c r="C121" s="193">
        <f>VLOOKUP(TCO_calc_tabl13[[#This Row],[Product]],TCO_calc_table2[#All],4,FALSE)</f>
        <v>15.527142857142858</v>
      </c>
      <c r="D121" s="193">
        <f>VLOOKUP(TCO_calc_tabl13[[#This Row],[Product]],TCO_calc_table9[#All],6,FALSE)</f>
        <v>12.252672026375199</v>
      </c>
      <c r="E121" s="193">
        <f>VLOOKUP(TCO_calc_tabl13[[#This Row],[Product]],TCO_calc_table1[#All],2,FALSE)</f>
        <v>2173800</v>
      </c>
      <c r="F121" s="193">
        <f>TCO_calc_tabl13[[#This Row],[Purchase Price]]*TCO_calc_tabl13[[#Totals],[Purchase Price per Protected-Mbps]]/TCO_calc_tabl13[[#This Row],[Purchase Price per Protected-Mbps]]</f>
        <v>2194140.2864828347</v>
      </c>
      <c r="G121" s="193">
        <f>TCO_calc_tabl13[[#This Row],[Security Effectiveness Value]]-TCO_calc_tabl13[[#This Row],[Purchase Price]]</f>
        <v>20340.286482834723</v>
      </c>
      <c r="H121" s="146">
        <f>TCO_calc_tabl13[[#This Row],[Delta]]/TCO_calc_tabl13[[#This Row],[Purchase Price]]</f>
        <v>9.3570183470580194E-3</v>
      </c>
    </row>
    <row r="122" spans="1:9">
      <c r="B122" s="133" t="str">
        <f>Comb_scrd[[#Headers],[IBM Security Network Protection XGS 7100]]</f>
        <v>IBM Security Network Protection XGS 7100</v>
      </c>
      <c r="C122" s="193">
        <f>VLOOKUP(TCO_calc_tabl13[[#This Row],[Product]],TCO_calc_table2[#All],4,FALSE)</f>
        <v>14.196199999999999</v>
      </c>
      <c r="D122" s="193">
        <f>VLOOKUP(TCO_calc_tabl13[[#This Row],[Product]],TCO_calc_table9[#All],6,FALSE)</f>
        <v>12.128852849746636</v>
      </c>
      <c r="E122" s="193">
        <f>VLOOKUP(TCO_calc_tabl13[[#This Row],[Product]],TCO_calc_table1[#All],2,FALSE)</f>
        <v>5678480</v>
      </c>
      <c r="F122" s="193">
        <f>TCO_calc_tabl13[[#This Row],[Purchase Price]]*TCO_calc_tabl13[[#Totals],[Purchase Price per Protected-Mbps]]/TCO_calc_tabl13[[#This Row],[Purchase Price per Protected-Mbps]]</f>
        <v>5790125.6616528528</v>
      </c>
      <c r="G122" s="193">
        <f>TCO_calc_tabl13[[#This Row],[Security Effectiveness Value]]-TCO_calc_tabl13[[#This Row],[Purchase Price]]</f>
        <v>111645.66165285278</v>
      </c>
      <c r="H122" s="146">
        <f>TCO_calc_tabl13[[#This Row],[Delta]]/TCO_calc_tabl13[[#This Row],[Purchase Price]]</f>
        <v>1.9661187791953617E-2</v>
      </c>
    </row>
    <row r="123" spans="1:9">
      <c r="B123" s="133" t="str">
        <f>Comb_scrd[[#Headers],[Palo Alto Networks PA-5020]]</f>
        <v>Palo Alto Networks PA-5020</v>
      </c>
      <c r="C123" s="193">
        <f>VLOOKUP(TCO_calc_tabl13[[#This Row],[Product]],TCO_calc_table2[#All],4,FALSE)</f>
        <v>21.25</v>
      </c>
      <c r="D123" s="193">
        <f>VLOOKUP(TCO_calc_tabl13[[#This Row],[Product]],TCO_calc_table9[#All],6,FALSE)</f>
        <v>14.471556748586639</v>
      </c>
      <c r="E123" s="193">
        <f>VLOOKUP(TCO_calc_tabl13[[#This Row],[Product]],TCO_calc_table1[#All],2,FALSE)</f>
        <v>850000</v>
      </c>
      <c r="F123" s="193">
        <f>TCO_calc_tabl13[[#This Row],[Purchase Price]]*TCO_calc_tabl13[[#Totals],[Purchase Price per Protected-Mbps]]/TCO_calc_tabl13[[#This Row],[Purchase Price per Protected-Mbps]]</f>
        <v>726405.77723983838</v>
      </c>
      <c r="G123" s="193">
        <f>TCO_calc_tabl13[[#This Row],[Security Effectiveness Value]]-TCO_calc_tabl13[[#This Row],[Purchase Price]]</f>
        <v>-123594.22276016162</v>
      </c>
      <c r="H123" s="146">
        <f>TCO_calc_tabl13[[#This Row],[Delta]]/TCO_calc_tabl13[[#This Row],[Purchase Price]]</f>
        <v>-0.14540496795313132</v>
      </c>
    </row>
    <row r="124" spans="1:9">
      <c r="B124" s="249" t="s">
        <v>127</v>
      </c>
      <c r="C124" s="196">
        <f>MEDIAN(TCO_calc_tabl13[Purchase Price per Mbps])</f>
        <v>14.861671428571428</v>
      </c>
      <c r="D124" s="196">
        <f>MEDIAN(TCO_calc_tabl13[Purchase Price per Protected-Mbps])</f>
        <v>12.367320503326477</v>
      </c>
      <c r="E124" s="196">
        <f>MEDIAN(E118:E123)</f>
        <v>3108108</v>
      </c>
      <c r="F124" s="196">
        <f>MEDIAN(F118:F123)</f>
        <v>3440759.149103906</v>
      </c>
      <c r="G124" s="254"/>
      <c r="H124" s="255"/>
    </row>
    <row r="126" spans="1:9" s="257" customFormat="1" ht="15" customHeight="1">
      <c r="A126" s="402" t="s">
        <v>470</v>
      </c>
      <c r="B126" s="402"/>
      <c r="C126" s="402"/>
      <c r="D126" s="402"/>
      <c r="E126" s="402"/>
      <c r="F126" s="256"/>
      <c r="G126" s="256"/>
      <c r="H126" s="256"/>
      <c r="I126" s="256"/>
    </row>
    <row r="127" spans="1:9" s="257" customFormat="1" ht="15" customHeight="1" thickBot="1">
      <c r="A127" s="402"/>
      <c r="B127" s="402"/>
      <c r="C127" s="402"/>
      <c r="D127" s="402"/>
      <c r="E127" s="402"/>
      <c r="F127" s="256"/>
      <c r="G127" s="256"/>
      <c r="H127" s="256"/>
      <c r="I127" s="256"/>
    </row>
    <row r="129" spans="1:9">
      <c r="A129" s="131" t="s">
        <v>389</v>
      </c>
      <c r="B129" s="212" t="s">
        <v>74</v>
      </c>
      <c r="C129" s="258" t="s">
        <v>466</v>
      </c>
      <c r="D129" s="213" t="s">
        <v>465</v>
      </c>
      <c r="E129" s="213" t="s">
        <v>666</v>
      </c>
      <c r="F129" s="213" t="s">
        <v>422</v>
      </c>
      <c r="G129" s="213" t="s">
        <v>489</v>
      </c>
    </row>
    <row r="130" spans="1:9">
      <c r="B130" s="133" t="str">
        <f>Comb_scrd[[#Headers],[Cisco FirePOWER 8350]]</f>
        <v>Cisco FirePOWER 8350</v>
      </c>
      <c r="C130" s="216">
        <f>VLOOKUP(TCO_calc_table17[[#This Row],[Product]],Perf_table1[#All],2,FALSE)</f>
        <v>18532.8</v>
      </c>
      <c r="D130" s="259">
        <f>VLOOKUP(TCO_calc_table17[[#This Row],[Product]],TCO_calc_table1[#All],2,FALSE)</f>
        <v>4858595</v>
      </c>
      <c r="E130" s="260">
        <f>VLOOKUP(TCO_calc_table17[[#This Row],[Product]],TCO_calc_table9[#All],5,FALSE)</f>
        <v>0.99518408324552166</v>
      </c>
      <c r="F130" s="259">
        <f>VLOOKUP(TCO_calc_table17[Product],TCO_calc_table1[#All],8,FALSE)</f>
        <v>6039191.9999999981</v>
      </c>
      <c r="G130" s="219">
        <f>TCO_calc_table17[3-Year TCO]/(TCO_calc_table17[NSS-Tested Throughput (Mbps)]*TCO_calc_table17[[Security Effectiveness ]]*Inputs_table1[NGIPS])</f>
        <v>16.372099712564768</v>
      </c>
    </row>
    <row r="131" spans="1:9">
      <c r="B131" s="133" t="str">
        <f>Comb_scrd[[#Headers],[Fortinet FortiGate-1500D]]</f>
        <v>Fortinet FortiGate-1500D</v>
      </c>
      <c r="C131" s="216">
        <f>VLOOKUP(TCO_calc_table17[[#This Row],[Product]],Perf_table1[#All],2,FALSE)</f>
        <v>11726.8</v>
      </c>
      <c r="D131" s="259">
        <f>VLOOKUP(TCO_calc_table17[[#This Row],[Product]],TCO_calc_table1[#All],2,FALSE)</f>
        <v>506958</v>
      </c>
      <c r="E131" s="260">
        <f>VLOOKUP(TCO_calc_table17[[#This Row],[Product]],TCO_calc_table9[#All],5,FALSE)</f>
        <v>0.99160531305383703</v>
      </c>
      <c r="F131" s="259">
        <f>VLOOKUP(TCO_calc_table17[Product],TCO_calc_table1[#All],8,FALSE)</f>
        <v>1151691</v>
      </c>
      <c r="G131" s="219">
        <f>TCO_calc_table17[3-Year TCO]/(TCO_calc_table17[NSS-Tested Throughput (Mbps)]*TCO_calc_table17[[Security Effectiveness ]]*Inputs_table1[NGIPS])</f>
        <v>4.9520795657780665</v>
      </c>
    </row>
    <row r="132" spans="1:9">
      <c r="B132" s="133" t="str">
        <f>Comb_scrd[[#Headers],[HP TippingPoint S7500NX]]</f>
        <v>HP TippingPoint S7500NX</v>
      </c>
      <c r="C132" s="216">
        <f>VLOOKUP(TCO_calc_table17[[#This Row],[Product]],Perf_table1[#All],2,FALSE)</f>
        <v>18694.400000000001</v>
      </c>
      <c r="D132" s="259">
        <f>VLOOKUP(TCO_calc_table17[[#This Row],[Product]],TCO_calc_table1[#All],2,FALSE)</f>
        <v>4042416</v>
      </c>
      <c r="E132" s="260">
        <f>VLOOKUP(TCO_calc_table17[[#This Row],[Product]],TCO_calc_table9[#All],5,FALSE)</f>
        <v>0.86619640834260148</v>
      </c>
      <c r="F132" s="259">
        <f>VLOOKUP(TCO_calc_table17[Product],TCO_calc_table1[#All],8,FALSE)</f>
        <v>6530568</v>
      </c>
      <c r="G132" s="219">
        <f>TCO_calc_table17[3-Year TCO]/(TCO_calc_table17[NSS-Tested Throughput (Mbps)]*TCO_calc_table17[[Security Effectiveness ]]*Inputs_table1[NGIPS])</f>
        <v>20.164759688165329</v>
      </c>
    </row>
    <row r="133" spans="1:9">
      <c r="B133" s="133" t="str">
        <f>Comb_scrd[[#Headers],[IBM Security Network Protection XGS 5100]]</f>
        <v>IBM Security Network Protection XGS 5100</v>
      </c>
      <c r="C133" s="216">
        <f>VLOOKUP(TCO_calc_table17[[#This Row],[Product]],Perf_table1[#All],2,FALSE)</f>
        <v>9168.2000000000007</v>
      </c>
      <c r="D133" s="259">
        <f>VLOOKUP(TCO_calc_table17[[#This Row],[Product]],TCO_calc_table1[#All],2,FALSE)</f>
        <v>2173800</v>
      </c>
      <c r="E133" s="260">
        <f>VLOOKUP(TCO_calc_table17[[#This Row],[Product]],TCO_calc_table9[#All],5,FALSE)</f>
        <v>0.96755286090621706</v>
      </c>
      <c r="F133" s="259">
        <f>VLOOKUP(TCO_calc_table17[Product],TCO_calc_table1[#All],8,FALSE)</f>
        <v>3618300</v>
      </c>
      <c r="G133" s="219">
        <f>TCO_calc_table17[3-Year TCO]/(TCO_calc_table17[NSS-Tested Throughput (Mbps)]*TCO_calc_table17[[Security Effectiveness ]]*Inputs_table1[NGIPS])</f>
        <v>20.39462838947161</v>
      </c>
    </row>
    <row r="134" spans="1:9">
      <c r="B134" s="133" t="str">
        <f>Comb_scrd[[#Headers],[IBM Security Network Protection XGS 7100]]</f>
        <v>IBM Security Network Protection XGS 7100</v>
      </c>
      <c r="C134" s="216">
        <f>VLOOKUP(TCO_calc_table17[[#This Row],[Product]],Perf_table1[#All],2,FALSE)</f>
        <v>24194</v>
      </c>
      <c r="D134" s="259">
        <f>VLOOKUP(TCO_calc_table17[[#This Row],[Product]],TCO_calc_table1[#All],2,FALSE)</f>
        <v>5678480</v>
      </c>
      <c r="E134" s="260">
        <f>VLOOKUP(TCO_calc_table17[[#This Row],[Product]],TCO_calc_table9[#All],5,FALSE)</f>
        <v>0.96755286090621706</v>
      </c>
      <c r="F134" s="259">
        <f>VLOOKUP(TCO_calc_table17[Product],TCO_calc_table1[#All],8,FALSE)</f>
        <v>9430940</v>
      </c>
      <c r="G134" s="219">
        <f>TCO_calc_table17[3-Year TCO]/(TCO_calc_table17[NSS-Tested Throughput (Mbps)]*TCO_calc_table17[[Security Effectiveness ]]*Inputs_table1[NGIPS])</f>
        <v>20.14385601336793</v>
      </c>
    </row>
    <row r="135" spans="1:9">
      <c r="B135" s="133" t="str">
        <f>Comb_scrd[[#Headers],[Palo Alto Networks PA-5020]]</f>
        <v>Palo Alto Networks PA-5020</v>
      </c>
      <c r="C135" s="216">
        <f>VLOOKUP(TCO_calc_table17[[#This Row],[Product]],Perf_table1[#All],2,FALSE)</f>
        <v>2972.82</v>
      </c>
      <c r="D135" s="259">
        <f>VLOOKUP(TCO_calc_table17[[#This Row],[Product]],TCO_calc_table1[#All],2,FALSE)</f>
        <v>850000</v>
      </c>
      <c r="E135" s="260">
        <f>VLOOKUP(TCO_calc_table17[[#This Row],[Product]],TCO_calc_table9[#All],5,FALSE)</f>
        <v>0.987881981032666</v>
      </c>
      <c r="F135" s="259">
        <f>VLOOKUP(TCO_calc_table17[Product],TCO_calc_table1[#All],8,FALSE)</f>
        <v>1486297.9999999998</v>
      </c>
      <c r="G135" s="219">
        <f>TCO_calc_table17[3-Year TCO]/(TCO_calc_table17[NSS-Tested Throughput (Mbps)]*TCO_calc_table17[[Security Effectiveness ]]*Inputs_table1[NGIPS])</f>
        <v>25.304759826248024</v>
      </c>
    </row>
    <row r="138" spans="1:9">
      <c r="A138" s="131" t="s">
        <v>390</v>
      </c>
      <c r="B138" s="212" t="s">
        <v>74</v>
      </c>
      <c r="C138" s="213" t="s">
        <v>423</v>
      </c>
      <c r="I138" s="133"/>
    </row>
    <row r="139" spans="1:9">
      <c r="B139" s="133" t="str">
        <f>Comb_scrd[[#Headers],[Cisco FirePOWER 8350]]</f>
        <v>Cisco FirePOWER 8350</v>
      </c>
      <c r="C139" s="261">
        <f>HLOOKUP(TCO_Calc_table18[Product],Comb_scrd[#All],234,FALSE)</f>
        <v>8</v>
      </c>
      <c r="I139" s="133"/>
    </row>
    <row r="140" spans="1:9">
      <c r="B140" s="133" t="str">
        <f>Comb_scrd[[#Headers],[Fortinet FortiGate-1500D]]</f>
        <v>Fortinet FortiGate-1500D</v>
      </c>
      <c r="C140" s="261">
        <f>HLOOKUP(TCO_Calc_table18[Product],Comb_scrd[#All],234,FALSE)</f>
        <v>8</v>
      </c>
      <c r="I140" s="133"/>
    </row>
    <row r="141" spans="1:9">
      <c r="B141" s="133" t="str">
        <f>Comb_scrd[[#Headers],[HP TippingPoint S7500NX]]</f>
        <v>HP TippingPoint S7500NX</v>
      </c>
      <c r="C141" s="262">
        <f>HLOOKUP(TCO_Calc_table18[Product],Comb_scrd[#All],234,FALSE)</f>
        <v>8</v>
      </c>
      <c r="I141" s="133"/>
    </row>
    <row r="142" spans="1:9">
      <c r="B142" s="133" t="str">
        <f>Comb_scrd[[#Headers],[IBM Security Network Protection XGS 5100]]</f>
        <v>IBM Security Network Protection XGS 5100</v>
      </c>
      <c r="C142" s="262">
        <f>HLOOKUP(TCO_Calc_table18[Product],Comb_scrd[#All],234,FALSE)</f>
        <v>8</v>
      </c>
      <c r="I142" s="133"/>
    </row>
    <row r="143" spans="1:9">
      <c r="B143" s="133" t="str">
        <f>Comb_scrd[[#Headers],[IBM Security Network Protection XGS 7100]]</f>
        <v>IBM Security Network Protection XGS 7100</v>
      </c>
      <c r="C143" s="262">
        <f>HLOOKUP(TCO_Calc_table18[Product],Comb_scrd[#All],234,FALSE)</f>
        <v>8</v>
      </c>
      <c r="I143" s="133"/>
    </row>
    <row r="144" spans="1:9">
      <c r="B144" s="133" t="str">
        <f>Comb_scrd[[#Headers],[Palo Alto Networks PA-5020]]</f>
        <v>Palo Alto Networks PA-5020</v>
      </c>
      <c r="C144" s="262">
        <f>HLOOKUP(TCO_Calc_table18[Product],Comb_scrd[#All],234,FALSE)</f>
        <v>8</v>
      </c>
      <c r="I144" s="133"/>
    </row>
    <row r="145" spans="1:9">
      <c r="B145" s="263"/>
      <c r="C145" s="264"/>
      <c r="D145" s="264"/>
    </row>
    <row r="147" spans="1:9">
      <c r="A147" s="131" t="s">
        <v>391</v>
      </c>
      <c r="B147" s="212" t="s">
        <v>74</v>
      </c>
      <c r="C147" s="213" t="s">
        <v>490</v>
      </c>
      <c r="D147" s="213" t="s">
        <v>491</v>
      </c>
      <c r="E147" s="213" t="s">
        <v>494</v>
      </c>
      <c r="F147" s="213" t="s">
        <v>492</v>
      </c>
      <c r="G147" s="213" t="s">
        <v>493</v>
      </c>
      <c r="I147" s="185"/>
    </row>
    <row r="148" spans="1:9">
      <c r="B148" s="133" t="str">
        <f>Comb_scrd[[#Headers],[Cisco FirePOWER 8350]]</f>
        <v>Cisco FirePOWER 8350</v>
      </c>
      <c r="C148" s="259">
        <f>HLOOKUP(Table65[[#This Row],[Product]],Inputs_table5[#All],2,FALSE)</f>
        <v>242390</v>
      </c>
      <c r="D148" s="259">
        <f>HLOOKUP(Table65[[#This Row],[Product]],Inputs_table5[#All],3,FALSE)</f>
        <v>10795</v>
      </c>
      <c r="E148" s="259">
        <f>HLOOKUP(Table65[[#This Row],[Product]],Inputs_table5[#All],4,FALSE)</f>
        <v>19386.666666666668</v>
      </c>
      <c r="F148" s="259">
        <f>HLOOKUP(Table65[[#This Row],[Product]],Inputs_table5[#All],5,FALSE)</f>
        <v>1799</v>
      </c>
      <c r="G148" s="259">
        <f>HLOOKUP(Table65[[#This Row],[Product]],Inputs_table5[#All],6,FALSE)</f>
        <v>0</v>
      </c>
      <c r="I148" s="185"/>
    </row>
    <row r="149" spans="1:9">
      <c r="B149" s="133" t="str">
        <f>Comb_scrd[[#Headers],[Fortinet FortiGate-1500D]]</f>
        <v>Fortinet FortiGate-1500D</v>
      </c>
      <c r="C149" s="265">
        <f>HLOOKUP(Table65[[#This Row],[Product]],Inputs_table5[#All],2,FALSE)</f>
        <v>24998</v>
      </c>
      <c r="D149" s="265">
        <f>HLOOKUP(Table65[[#This Row],[Product]],Inputs_table5[#All],3,FALSE)</f>
        <v>6998</v>
      </c>
      <c r="E149" s="265">
        <f>HLOOKUP(Table65[[#This Row],[Product]],Inputs_table5[#All],4,FALSE)</f>
        <v>10469</v>
      </c>
      <c r="F149" s="265">
        <f>HLOOKUP(Table65[[#This Row],[Product]],Inputs_table5[#All],5,FALSE)</f>
        <v>1531</v>
      </c>
      <c r="G149" s="265">
        <f>HLOOKUP(Table65[[#This Row],[Product]],Inputs_table5[#All],6,FALSE)</f>
        <v>0</v>
      </c>
      <c r="I149" s="185"/>
    </row>
    <row r="150" spans="1:9">
      <c r="B150" s="133" t="str">
        <f>Comb_scrd[[#Headers],[HP TippingPoint S7500NX]]</f>
        <v>HP TippingPoint S7500NX</v>
      </c>
      <c r="C150" s="259">
        <f>HLOOKUP(Table65[[#This Row],[Product]],Inputs_table5[#All],2,FALSE)</f>
        <v>201596</v>
      </c>
      <c r="D150" s="259">
        <f>HLOOKUP(Table65[[#This Row],[Product]],Inputs_table5[#All],3,FALSE)</f>
        <v>10496</v>
      </c>
      <c r="E150" s="259">
        <f>HLOOKUP(Table65[[#This Row],[Product]],Inputs_table5[#All],4,FALSE)</f>
        <v>41159</v>
      </c>
      <c r="F150" s="259">
        <f>HLOOKUP(Table65[[#This Row],[Product]],Inputs_table5[#All],5,FALSE)</f>
        <v>2204</v>
      </c>
      <c r="G150" s="259">
        <f>HLOOKUP(Table65[[#This Row],[Product]],Inputs_table5[#All],6,FALSE)</f>
        <v>0</v>
      </c>
      <c r="I150" s="185"/>
    </row>
    <row r="151" spans="1:9">
      <c r="B151" s="133" t="str">
        <f>Comb_scrd[[#Headers],[IBM Security Network Protection XGS 5100]]</f>
        <v>IBM Security Network Protection XGS 5100</v>
      </c>
      <c r="C151" s="265">
        <f>HLOOKUP(Table65[[#This Row],[Product]],Inputs_table5[#All],2,FALSE)</f>
        <v>108158</v>
      </c>
      <c r="D151" s="265">
        <f>HLOOKUP(Table65[[#This Row],[Product]],Inputs_table5[#All],3,FALSE)</f>
        <v>10640</v>
      </c>
      <c r="E151" s="265">
        <f>HLOOKUP(Table65[[#This Row],[Product]],Inputs_table5[#All],4,FALSE)</f>
        <v>23742</v>
      </c>
      <c r="F151" s="265">
        <f>HLOOKUP(Table65[[#This Row],[Product]],Inputs_table5[#All],5,FALSE)</f>
        <v>2660</v>
      </c>
      <c r="G151" s="265">
        <f>HLOOKUP(Table65[[#This Row],[Product]],Inputs_table5[#All],6,FALSE)</f>
        <v>0</v>
      </c>
      <c r="I151" s="185"/>
    </row>
    <row r="152" spans="1:9">
      <c r="B152" s="133" t="str">
        <f>Comb_scrd[[#Headers],[IBM Security Network Protection XGS 7100]]</f>
        <v>IBM Security Network Protection XGS 7100</v>
      </c>
      <c r="C152" s="265">
        <f>HLOOKUP(Table65[[#This Row],[Product]],Inputs_table5[#All],2,FALSE)</f>
        <v>283392</v>
      </c>
      <c r="D152" s="265">
        <f>HLOOKUP(Table65[[#This Row],[Product]],Inputs_table5[#All],3,FALSE)</f>
        <v>10640</v>
      </c>
      <c r="E152" s="265">
        <f>HLOOKUP(Table65[[#This Row],[Product]],Inputs_table5[#All],4,FALSE)</f>
        <v>62208</v>
      </c>
      <c r="F152" s="265">
        <f>HLOOKUP(Table65[[#This Row],[Product]],Inputs_table5[#All],5,FALSE)</f>
        <v>2660</v>
      </c>
      <c r="G152" s="265">
        <f>HLOOKUP(Table65[[#This Row],[Product]],Inputs_table5[#All],6,FALSE)</f>
        <v>0</v>
      </c>
      <c r="I152" s="185"/>
    </row>
    <row r="153" spans="1:9">
      <c r="B153" s="133" t="str">
        <f>Comb_scrd[[#Headers],[Palo Alto Networks PA-5020]]</f>
        <v>Palo Alto Networks PA-5020</v>
      </c>
      <c r="C153" s="265">
        <f>HLOOKUP(Table65[[#This Row],[Product]],Inputs_table5[#All],2,FALSE)</f>
        <v>41500</v>
      </c>
      <c r="D153" s="265">
        <f>HLOOKUP(Table65[[#This Row],[Product]],Inputs_table5[#All],3,FALSE)</f>
        <v>20000</v>
      </c>
      <c r="E153" s="265">
        <f>HLOOKUP(Table65[[#This Row],[Product]],Inputs_table5[#All],4,FALSE)</f>
        <v>3840</v>
      </c>
      <c r="F153" s="265">
        <f>HLOOKUP(Table65[[#This Row],[Product]],Inputs_table5[#All],5,FALSE)</f>
        <v>3299.3333333333298</v>
      </c>
      <c r="G153" s="265">
        <f>HLOOKUP(Table65[[#This Row],[Product]],Inputs_table5[#All],6,FALSE)</f>
        <v>6400</v>
      </c>
      <c r="I153" s="185"/>
    </row>
  </sheetData>
  <sheetProtection algorithmName="SHA-512" hashValue="MGrmkKavzPNqZAvRsUKAYqlsKrgSdckg/W0wfvWPX9z6Ob4n6YDwnDys8VqjpdwRaxbUNl8XAeupUFmbtFxtJg==" saltValue="UAt3KiabtxvfKbGgek/XXA==" spinCount="100000" sheet="1" objects="1" scenarios="1"/>
  <mergeCells count="3">
    <mergeCell ref="A126:E127"/>
    <mergeCell ref="C96:D96"/>
    <mergeCell ref="C105:D105"/>
  </mergeCells>
  <conditionalFormatting sqref="E19">
    <cfRule type="colorScale" priority="60">
      <colorScale>
        <cfvo type="min"/>
        <cfvo type="percentile" val="50"/>
        <cfvo type="max"/>
        <color rgb="FF63BE7B"/>
        <color rgb="FFFFEB84"/>
        <color rgb="FFF8696B"/>
      </colorScale>
    </cfRule>
  </conditionalFormatting>
  <conditionalFormatting sqref="E49:E54 H118:H123">
    <cfRule type="cellIs" dxfId="199" priority="53" operator="lessThan">
      <formula>0</formula>
    </cfRule>
  </conditionalFormatting>
  <conditionalFormatting sqref="C104">
    <cfRule type="colorScale" priority="171">
      <colorScale>
        <cfvo type="min"/>
        <cfvo type="percentile" val="50"/>
        <cfvo type="max"/>
        <color rgb="FF63BE7B"/>
        <color rgb="FFFFEB84"/>
        <color rgb="FFF8696B"/>
      </colorScale>
    </cfRule>
  </conditionalFormatting>
  <conditionalFormatting sqref="F104">
    <cfRule type="colorScale" priority="172">
      <colorScale>
        <cfvo type="min"/>
        <cfvo type="percentile" val="50"/>
        <cfvo type="max"/>
        <color rgb="FF63BE7B"/>
        <color rgb="FFFFEB84"/>
        <color rgb="FFF8696B"/>
      </colorScale>
    </cfRule>
  </conditionalFormatting>
  <conditionalFormatting sqref="D104">
    <cfRule type="colorScale" priority="173">
      <colorScale>
        <cfvo type="min"/>
        <cfvo type="percentile" val="50"/>
        <cfvo type="max"/>
        <color rgb="FF63BE7B"/>
        <color rgb="FFFFEB84"/>
        <color rgb="FFF8696B"/>
      </colorScale>
    </cfRule>
  </conditionalFormatting>
  <conditionalFormatting sqref="E104">
    <cfRule type="colorScale" priority="174">
      <colorScale>
        <cfvo type="min"/>
        <cfvo type="percentile" val="50"/>
        <cfvo type="max"/>
        <color rgb="FF63BE7B"/>
        <color rgb="FFFFEB84"/>
        <color rgb="FFF8696B"/>
      </colorScale>
    </cfRule>
  </conditionalFormatting>
  <conditionalFormatting sqref="G113:G114">
    <cfRule type="colorScale" priority="962">
      <colorScale>
        <cfvo type="min"/>
        <cfvo type="percentile" val="50"/>
        <cfvo type="max"/>
        <color rgb="FF63BE7B"/>
        <color rgb="FFFFEB84"/>
        <color rgb="FFF8696B"/>
      </colorScale>
    </cfRule>
  </conditionalFormatting>
  <conditionalFormatting sqref="H113:H114">
    <cfRule type="colorScale" priority="963">
      <colorScale>
        <cfvo type="min"/>
        <cfvo type="percentile" val="50"/>
        <cfvo type="max"/>
        <color rgb="FF63BE7B"/>
        <color rgb="FFFFEB84"/>
        <color rgb="FFF8696B"/>
      </colorScale>
    </cfRule>
  </conditionalFormatting>
  <conditionalFormatting sqref="H93">
    <cfRule type="colorScale" priority="1056">
      <colorScale>
        <cfvo type="min"/>
        <cfvo type="percentile" val="50"/>
        <cfvo type="max"/>
        <color rgb="FF63BE7B"/>
        <color rgb="FFFCFCFF"/>
        <color rgb="FFF8696B"/>
      </colorScale>
    </cfRule>
  </conditionalFormatting>
  <conditionalFormatting sqref="G83">
    <cfRule type="colorScale" priority="1394">
      <colorScale>
        <cfvo type="min"/>
        <cfvo type="percentile" val="50"/>
        <cfvo type="max"/>
        <color rgb="FF63BE7B"/>
        <color rgb="FFFFEB84"/>
        <color rgb="FFF8696B"/>
      </colorScale>
    </cfRule>
  </conditionalFormatting>
  <conditionalFormatting sqref="E13:E18">
    <cfRule type="colorScale" priority="2506">
      <colorScale>
        <cfvo type="min"/>
        <cfvo type="percentile" val="50"/>
        <cfvo type="max"/>
        <color rgb="FF63BE7B"/>
        <color rgb="FFFCFCFF"/>
        <color rgb="FFF8696B"/>
      </colorScale>
    </cfRule>
  </conditionalFormatting>
  <conditionalFormatting sqref="F28">
    <cfRule type="colorScale" priority="2507">
      <colorScale>
        <cfvo type="min"/>
        <cfvo type="percentile" val="50"/>
        <cfvo type="max"/>
        <color rgb="FF63BE7B"/>
        <color rgb="FFFFEB84"/>
        <color rgb="FFF8696B"/>
      </colorScale>
    </cfRule>
  </conditionalFormatting>
  <conditionalFormatting sqref="F22:F28">
    <cfRule type="colorScale" priority="2508">
      <colorScale>
        <cfvo type="min"/>
        <cfvo type="percentile" val="50"/>
        <cfvo type="max"/>
        <color rgb="FF63BE7B"/>
        <color rgb="FFFCFCFF"/>
        <color rgb="FFF8696B"/>
      </colorScale>
    </cfRule>
  </conditionalFormatting>
  <conditionalFormatting sqref="F31:F36">
    <cfRule type="colorScale" priority="2509">
      <colorScale>
        <cfvo type="min"/>
        <cfvo type="percentile" val="50"/>
        <cfvo type="max"/>
        <color rgb="FF63BE7B"/>
        <color rgb="FFFCFCFF"/>
        <color rgb="FFF8696B"/>
      </colorScale>
    </cfRule>
  </conditionalFormatting>
  <conditionalFormatting sqref="G40:G45">
    <cfRule type="colorScale" priority="2510">
      <colorScale>
        <cfvo type="min"/>
        <cfvo type="percentile" val="50"/>
        <cfvo type="max"/>
        <color rgb="FF63BE7B"/>
        <color rgb="FFFCFCFF"/>
        <color rgb="FFF8696B"/>
      </colorScale>
    </cfRule>
  </conditionalFormatting>
  <conditionalFormatting sqref="G46:G54">
    <cfRule type="colorScale" priority="2511">
      <colorScale>
        <cfvo type="min"/>
        <cfvo type="percentile" val="50"/>
        <cfvo type="max"/>
        <color rgb="FF63BE7B"/>
        <color rgb="FFFFEB84"/>
        <color rgb="FFF8696B"/>
      </colorScale>
    </cfRule>
  </conditionalFormatting>
  <conditionalFormatting sqref="G58:G63">
    <cfRule type="colorScale" priority="2512">
      <colorScale>
        <cfvo type="min"/>
        <cfvo type="percentile" val="50"/>
        <cfvo type="max"/>
        <color rgb="FF63BE7B"/>
        <color rgb="FFFCFCFF"/>
        <color rgb="FFF8696B"/>
      </colorScale>
    </cfRule>
  </conditionalFormatting>
  <conditionalFormatting sqref="H67:H72">
    <cfRule type="colorScale" priority="2513">
      <colorScale>
        <cfvo type="min"/>
        <cfvo type="percentile" val="50"/>
        <cfvo type="max"/>
        <color rgb="FF63BE7B"/>
        <color rgb="FFFCFCFF"/>
        <color rgb="FFF8696B"/>
      </colorScale>
    </cfRule>
  </conditionalFormatting>
  <conditionalFormatting sqref="G77:G83">
    <cfRule type="colorScale" priority="2514">
      <colorScale>
        <cfvo type="min"/>
        <cfvo type="percentile" val="50"/>
        <cfvo type="max"/>
        <color rgb="FF63BE7B"/>
        <color rgb="FFFCFCFF"/>
        <color rgb="FFF8696B"/>
      </colorScale>
    </cfRule>
  </conditionalFormatting>
  <conditionalFormatting sqref="H86:H92">
    <cfRule type="colorScale" priority="2515">
      <colorScale>
        <cfvo type="min"/>
        <cfvo type="percentile" val="50"/>
        <cfvo type="max"/>
        <color rgb="FF63BE7B"/>
        <color rgb="FFFCFCFF"/>
        <color rgb="FFF8696B"/>
      </colorScale>
    </cfRule>
  </conditionalFormatting>
  <conditionalFormatting sqref="C98:C103">
    <cfRule type="colorScale" priority="2516">
      <colorScale>
        <cfvo type="min"/>
        <cfvo type="percentile" val="50"/>
        <cfvo type="max"/>
        <color rgb="FF63BE7B"/>
        <color rgb="FFFCFCFF"/>
        <color rgb="FFF8696B"/>
      </colorScale>
    </cfRule>
  </conditionalFormatting>
  <conditionalFormatting sqref="D98:D103">
    <cfRule type="colorScale" priority="2517">
      <colorScale>
        <cfvo type="min"/>
        <cfvo type="percentile" val="50"/>
        <cfvo type="max"/>
        <color rgb="FF63BE7B"/>
        <color rgb="FFFCFCFF"/>
        <color rgb="FFF8696B"/>
      </colorScale>
    </cfRule>
  </conditionalFormatting>
  <conditionalFormatting sqref="E98:E103">
    <cfRule type="colorScale" priority="2518">
      <colorScale>
        <cfvo type="min"/>
        <cfvo type="percentile" val="50"/>
        <cfvo type="max"/>
        <color rgb="FF63BE7B"/>
        <color rgb="FFFCFCFF"/>
        <color rgb="FFF8696B"/>
      </colorScale>
    </cfRule>
  </conditionalFormatting>
  <conditionalFormatting sqref="F98:F103">
    <cfRule type="colorScale" priority="2519">
      <colorScale>
        <cfvo type="min"/>
        <cfvo type="percentile" val="50"/>
        <cfvo type="max"/>
        <color rgb="FF63BE7B"/>
        <color rgb="FFFCFCFF"/>
        <color rgb="FFF8696B"/>
      </colorScale>
    </cfRule>
  </conditionalFormatting>
  <conditionalFormatting sqref="C107:C112">
    <cfRule type="colorScale" priority="2520">
      <colorScale>
        <cfvo type="min"/>
        <cfvo type="percentile" val="50"/>
        <cfvo type="max"/>
        <color rgb="FF63BE7B"/>
        <color rgb="FFFCFCFF"/>
        <color rgb="FFF8696B"/>
      </colorScale>
    </cfRule>
  </conditionalFormatting>
  <conditionalFormatting sqref="D107:D112">
    <cfRule type="colorScale" priority="2521">
      <colorScale>
        <cfvo type="min"/>
        <cfvo type="percentile" val="50"/>
        <cfvo type="max"/>
        <color rgb="FF63BE7B"/>
        <color rgb="FFFCFCFF"/>
        <color rgb="FFF8696B"/>
      </colorScale>
    </cfRule>
  </conditionalFormatting>
  <conditionalFormatting sqref="E107:E112">
    <cfRule type="colorScale" priority="2522">
      <colorScale>
        <cfvo type="min"/>
        <cfvo type="percentile" val="50"/>
        <cfvo type="max"/>
        <color rgb="FF63BE7B"/>
        <color rgb="FFFCFCFF"/>
        <color rgb="FFF8696B"/>
      </colorScale>
    </cfRule>
  </conditionalFormatting>
  <conditionalFormatting sqref="F107:F112">
    <cfRule type="colorScale" priority="2523">
      <colorScale>
        <cfvo type="min"/>
        <cfvo type="percentile" val="50"/>
        <cfvo type="max"/>
        <color rgb="FF63BE7B"/>
        <color rgb="FFFCFCFF"/>
        <color rgb="FFF8696B"/>
      </colorScale>
    </cfRule>
  </conditionalFormatting>
  <conditionalFormatting sqref="G130:G135">
    <cfRule type="colorScale" priority="2524">
      <colorScale>
        <cfvo type="min"/>
        <cfvo type="percentile" val="50"/>
        <cfvo type="max"/>
        <color rgb="FF63BE7B"/>
        <color rgb="FFFCFCFF"/>
        <color rgb="FFF8696B"/>
      </colorScale>
    </cfRule>
  </conditionalFormatting>
  <pageMargins left="0.7" right="0.7" top="0.75" bottom="0.75" header="0.3" footer="0.3"/>
  <pageSetup orientation="portrait" horizontalDpi="4294967292" verticalDpi="4294967292" r:id="rId1"/>
  <tableParts count="16">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O399"/>
  <sheetViews>
    <sheetView showGridLines="0" zoomScaleNormal="100" workbookViewId="0">
      <selection activeCell="F9" sqref="F9"/>
    </sheetView>
  </sheetViews>
  <sheetFormatPr defaultColWidth="10.85546875" defaultRowHeight="12"/>
  <cols>
    <col min="1" max="1" width="13.7109375" style="133" bestFit="1" customWidth="1"/>
    <col min="2" max="2" width="35.7109375" style="133" bestFit="1" customWidth="1"/>
    <col min="3" max="3" width="27.7109375" style="143" customWidth="1"/>
    <col min="4" max="4" width="30.42578125" style="143" bestFit="1" customWidth="1"/>
    <col min="5" max="5" width="28.140625" style="143" customWidth="1"/>
    <col min="6" max="6" width="25.28515625" style="143" customWidth="1"/>
    <col min="7" max="7" width="26.140625" style="143" customWidth="1"/>
    <col min="8" max="12" width="19.7109375" style="143" customWidth="1"/>
    <col min="13" max="13" width="19" style="143" customWidth="1"/>
    <col min="14" max="14" width="19.28515625" style="143" customWidth="1"/>
    <col min="15" max="15" width="18" style="133" customWidth="1"/>
    <col min="16" max="16" width="19.28515625" style="133" customWidth="1"/>
    <col min="17" max="17" width="19" style="133" customWidth="1"/>
    <col min="18" max="16384" width="10.85546875" style="133"/>
  </cols>
  <sheetData>
    <row r="2" spans="1:7">
      <c r="A2" s="139" t="s">
        <v>425</v>
      </c>
      <c r="B2" s="266" t="s">
        <v>74</v>
      </c>
      <c r="C2" s="267" t="s">
        <v>466</v>
      </c>
      <c r="D2" s="267" t="s">
        <v>440</v>
      </c>
      <c r="E2" s="267" t="s">
        <v>160</v>
      </c>
    </row>
    <row r="3" spans="1:7">
      <c r="B3" s="133" t="str">
        <f>Comb_scrd[[#Headers],[Cisco FirePOWER 8350]]</f>
        <v>Cisco FirePOWER 8350</v>
      </c>
      <c r="C3" s="268">
        <f>AVERAGE(HLOOKUP(Perf_table1[Product],Comb_scrd[#All],215,FALSE),HLOOKUP(Perf_table1[Product],Comb_scrd[#All],216,FALSE),HLOOKUP(Perf_table1[Product],Comb_scrd[#All],217,FALSE),HLOOKUP(Perf_table1[Product],Comb_scrd[#All],218,FALSE),HLOOKUP(Perf_table1[Product],Comb_scrd[#All],201,FALSE)/5)</f>
        <v>18532.8</v>
      </c>
      <c r="D3" s="269">
        <f>VLOOKUP(Perf_table1[[#This Row],[Product]],TCO_calc_table2[#All],2,FALSE)</f>
        <v>15000</v>
      </c>
      <c r="E3" s="270">
        <f>(Perf_table1[[#This Row],[NSS-Tested Throughput (Mbps)]]-Perf_table1[[#This Row],[Vendor-Claimed Throughput (Mbps)]])/Perf_table1[[#This Row],[Vendor-Claimed Throughput (Mbps)]]</f>
        <v>0.23551999999999995</v>
      </c>
    </row>
    <row r="4" spans="1:7">
      <c r="B4" s="133" t="str">
        <f>Comb_scrd[[#Headers],[Fortinet FortiGate-1500D]]</f>
        <v>Fortinet FortiGate-1500D</v>
      </c>
      <c r="C4" s="268">
        <f>AVERAGE(HLOOKUP(Perf_table1[Product],Comb_scrd[#All],215,FALSE),HLOOKUP(Perf_table1[Product],Comb_scrd[#All],216,FALSE),HLOOKUP(Perf_table1[Product],Comb_scrd[#All],217,FALSE),HLOOKUP(Perf_table1[Product],Comb_scrd[#All],218,FALSE),HLOOKUP(Perf_table1[Product],Comb_scrd[#All],201,FALSE)/5)</f>
        <v>11726.8</v>
      </c>
      <c r="D4" s="269">
        <f>VLOOKUP(Perf_table1[[#This Row],[Product]],TCO_calc_table2[#All],2,FALSE)</f>
        <v>11000</v>
      </c>
      <c r="E4" s="271">
        <f>(Perf_table1[[#This Row],[NSS-Tested Throughput (Mbps)]]-Perf_table1[[#This Row],[Vendor-Claimed Throughput (Mbps)]])/Perf_table1[[#This Row],[Vendor-Claimed Throughput (Mbps)]]</f>
        <v>6.60727272727272E-2</v>
      </c>
    </row>
    <row r="5" spans="1:7">
      <c r="B5" s="133" t="str">
        <f>Comb_scrd[[#Headers],[HP TippingPoint S7500NX]]</f>
        <v>HP TippingPoint S7500NX</v>
      </c>
      <c r="C5" s="268">
        <f>AVERAGE(HLOOKUP(Perf_table1[Product],Comb_scrd[#All],215,FALSE),HLOOKUP(Perf_table1[Product],Comb_scrd[#All],216,FALSE),HLOOKUP(Perf_table1[Product],Comb_scrd[#All],217,FALSE),HLOOKUP(Perf_table1[Product],Comb_scrd[#All],218,FALSE),HLOOKUP(Perf_table1[Product],Comb_scrd[#All],201,FALSE)/5)</f>
        <v>18694.400000000001</v>
      </c>
      <c r="D5" s="269">
        <f>VLOOKUP(Perf_table1[[#This Row],[Product]],TCO_calc_table2[#All],2,FALSE)</f>
        <v>20000</v>
      </c>
      <c r="E5" s="270">
        <f>(Perf_table1[[#This Row],[NSS-Tested Throughput (Mbps)]]-Perf_table1[[#This Row],[Vendor-Claimed Throughput (Mbps)]])/Perf_table1[[#This Row],[Vendor-Claimed Throughput (Mbps)]]</f>
        <v>-6.5279999999999921E-2</v>
      </c>
    </row>
    <row r="6" spans="1:7">
      <c r="B6" s="133" t="str">
        <f>Comb_scrd[[#Headers],[IBM Security Network Protection XGS 5100]]</f>
        <v>IBM Security Network Protection XGS 5100</v>
      </c>
      <c r="C6" s="268">
        <f>AVERAGE(HLOOKUP(Perf_table1[Product],Comb_scrd[#All],215,FALSE),HLOOKUP(Perf_table1[Product],Comb_scrd[#All],216,FALSE),HLOOKUP(Perf_table1[Product],Comb_scrd[#All],217,FALSE),HLOOKUP(Perf_table1[Product],Comb_scrd[#All],218,FALSE),HLOOKUP(Perf_table1[Product],Comb_scrd[#All],201,FALSE)/5)</f>
        <v>9168.2000000000007</v>
      </c>
      <c r="D6" s="269">
        <f>VLOOKUP(Perf_table1[[#This Row],[Product]],TCO_calc_table2[#All],2,FALSE)</f>
        <v>7000</v>
      </c>
      <c r="E6" s="271">
        <f>(Perf_table1[[#This Row],[NSS-Tested Throughput (Mbps)]]-Perf_table1[[#This Row],[Vendor-Claimed Throughput (Mbps)]])/Perf_table1[[#This Row],[Vendor-Claimed Throughput (Mbps)]]</f>
        <v>0.30974285714285726</v>
      </c>
    </row>
    <row r="7" spans="1:7">
      <c r="B7" s="133" t="str">
        <f>Comb_scrd[[#Headers],[IBM Security Network Protection XGS 7100]]</f>
        <v>IBM Security Network Protection XGS 7100</v>
      </c>
      <c r="C7" s="268">
        <f>AVERAGE(HLOOKUP(Perf_table1[Product],Comb_scrd[#All],215,FALSE),HLOOKUP(Perf_table1[Product],Comb_scrd[#All],216,FALSE),HLOOKUP(Perf_table1[Product],Comb_scrd[#All],217,FALSE),HLOOKUP(Perf_table1[Product],Comb_scrd[#All],218,FALSE),HLOOKUP(Perf_table1[Product],Comb_scrd[#All],201,FALSE)/5)</f>
        <v>24194</v>
      </c>
      <c r="D7" s="269">
        <f>VLOOKUP(Perf_table1[[#This Row],[Product]],TCO_calc_table2[#All],2,FALSE)</f>
        <v>20000</v>
      </c>
      <c r="E7" s="271">
        <f>(Perf_table1[[#This Row],[NSS-Tested Throughput (Mbps)]]-Perf_table1[[#This Row],[Vendor-Claimed Throughput (Mbps)]])/Perf_table1[[#This Row],[Vendor-Claimed Throughput (Mbps)]]</f>
        <v>0.2097</v>
      </c>
    </row>
    <row r="8" spans="1:7">
      <c r="B8" s="133" t="str">
        <f>Comb_scrd[[#Headers],[Palo Alto Networks PA-5020]]</f>
        <v>Palo Alto Networks PA-5020</v>
      </c>
      <c r="C8" s="268">
        <f>AVERAGE(HLOOKUP(Perf_table1[Product],Comb_scrd[#All],215,FALSE),HLOOKUP(Perf_table1[Product],Comb_scrd[#All],216,FALSE),HLOOKUP(Perf_table1[Product],Comb_scrd[#All],217,FALSE),HLOOKUP(Perf_table1[Product],Comb_scrd[#All],218,FALSE),HLOOKUP(Perf_table1[Product],Comb_scrd[#All],201,FALSE)/5)</f>
        <v>2972.82</v>
      </c>
      <c r="D8" s="269">
        <f>VLOOKUP(Perf_table1[[#This Row],[Product]],TCO_calc_table2[#All],2,FALSE)</f>
        <v>2000</v>
      </c>
      <c r="E8" s="271">
        <f>(Perf_table1[[#This Row],[NSS-Tested Throughput (Mbps)]]-Perf_table1[[#This Row],[Vendor-Claimed Throughput (Mbps)]])/Perf_table1[[#This Row],[Vendor-Claimed Throughput (Mbps)]]</f>
        <v>0.48641000000000006</v>
      </c>
    </row>
    <row r="11" spans="1:7" ht="27" customHeight="1">
      <c r="A11" s="139" t="s">
        <v>673</v>
      </c>
      <c r="B11" s="266" t="s">
        <v>74</v>
      </c>
      <c r="C11" s="267" t="s">
        <v>11</v>
      </c>
      <c r="D11" s="267" t="s">
        <v>13</v>
      </c>
      <c r="E11" s="267" t="s">
        <v>15</v>
      </c>
      <c r="F11" s="267" t="s">
        <v>17</v>
      </c>
      <c r="G11" s="267" t="s">
        <v>19</v>
      </c>
    </row>
    <row r="12" spans="1:7">
      <c r="B12" s="133" t="str">
        <f>Comb_scrd[[#Headers],[Cisco FirePOWER 8350]]</f>
        <v>Cisco FirePOWER 8350</v>
      </c>
      <c r="C12" s="268">
        <f>HLOOKUP(Perf_table2[[#This Row],[Product]],Comb_scrd[#All],194,FALSE)</f>
        <v>19244910</v>
      </c>
      <c r="D12" s="268">
        <f>HLOOKUP(Perf_table2[[#This Row],[Product]],Comb_scrd[#All],195,FALSE)</f>
        <v>18098077</v>
      </c>
      <c r="E12" s="268">
        <f>HLOOKUP(Perf_table2[[#This Row],[Product]],Comb_scrd[#All],196,FALSE)</f>
        <v>516000</v>
      </c>
      <c r="F12" s="268">
        <f>HLOOKUP(Perf_table2[[#This Row],[Product]],Comb_scrd[#All],197,FALSE)</f>
        <v>400300</v>
      </c>
      <c r="G12" s="268">
        <f>HLOOKUP(Perf_table2[[#This Row],[Product]],Comb_scrd[#All],198,FALSE)</f>
        <v>1081200</v>
      </c>
    </row>
    <row r="13" spans="1:7">
      <c r="B13" s="133" t="str">
        <f>Comb_scrd[[#Headers],[Fortinet FortiGate-1500D]]</f>
        <v>Fortinet FortiGate-1500D</v>
      </c>
      <c r="C13" s="268">
        <f>HLOOKUP(Perf_table2[[#This Row],[Product]],Comb_scrd[#All],194,FALSE)</f>
        <v>2349819</v>
      </c>
      <c r="D13" s="268">
        <f>HLOOKUP(Perf_table2[[#This Row],[Product]],Comb_scrd[#All],195,FALSE)</f>
        <v>5457340</v>
      </c>
      <c r="E13" s="268">
        <f>HLOOKUP(Perf_table2[[#This Row],[Product]],Comb_scrd[#All],196,FALSE)</f>
        <v>95000</v>
      </c>
      <c r="F13" s="268">
        <f>HLOOKUP(Perf_table2[[#This Row],[Product]],Comb_scrd[#All],197,FALSE)</f>
        <v>69940</v>
      </c>
      <c r="G13" s="268">
        <f>HLOOKUP(Perf_table2[[#This Row],[Product]],Comb_scrd[#All],198,FALSE)</f>
        <v>180150</v>
      </c>
    </row>
    <row r="14" spans="1:7">
      <c r="B14" s="133" t="str">
        <f>Comb_scrd[[#Headers],[HP TippingPoint S7500NX]]</f>
        <v>HP TippingPoint S7500NX</v>
      </c>
      <c r="C14" s="268">
        <f>HLOOKUP(Perf_table2[[#This Row],[Product]],Comb_scrd[#All],194,FALSE)</f>
        <v>60000000</v>
      </c>
      <c r="D14" s="268">
        <f>HLOOKUP(Perf_table2[[#This Row],[Product]],Comb_scrd[#All],195,FALSE)</f>
        <v>60000000</v>
      </c>
      <c r="E14" s="268">
        <f>HLOOKUP(Perf_table2[[#This Row],[Product]],Comb_scrd[#All],196,FALSE)</f>
        <v>249760</v>
      </c>
      <c r="F14" s="268">
        <f>HLOOKUP(Perf_table2[[#This Row],[Product]],Comb_scrd[#All],197,FALSE)</f>
        <v>183500</v>
      </c>
      <c r="G14" s="268">
        <f>HLOOKUP(Perf_table2[[#This Row],[Product]],Comb_scrd[#All],198,FALSE)</f>
        <v>350010</v>
      </c>
    </row>
    <row r="15" spans="1:7">
      <c r="B15" s="133" t="str">
        <f>Comb_scrd[[#Headers],[IBM Security Network Protection XGS 5100]]</f>
        <v>IBM Security Network Protection XGS 5100</v>
      </c>
      <c r="C15" s="268">
        <f>HLOOKUP(Perf_table2[[#This Row],[Product]],Comb_scrd[#All],194,FALSE)</f>
        <v>3284804</v>
      </c>
      <c r="D15" s="268">
        <f>HLOOKUP(Perf_table2[[#This Row],[Product]],Comb_scrd[#All],195,FALSE)</f>
        <v>3284783</v>
      </c>
      <c r="E15" s="268">
        <f>HLOOKUP(Perf_table2[[#This Row],[Product]],Comb_scrd[#All],196,FALSE)</f>
        <v>354000</v>
      </c>
      <c r="F15" s="268">
        <f>HLOOKUP(Perf_table2[[#This Row],[Product]],Comb_scrd[#All],197,FALSE)</f>
        <v>63030</v>
      </c>
      <c r="G15" s="268">
        <f>HLOOKUP(Perf_table2[[#This Row],[Product]],Comb_scrd[#All],198,FALSE)</f>
        <v>79590</v>
      </c>
    </row>
    <row r="16" spans="1:7">
      <c r="B16" s="133" t="str">
        <f>Comb_scrd[[#Headers],[IBM Security Network Protection XGS 7100]]</f>
        <v>IBM Security Network Protection XGS 7100</v>
      </c>
      <c r="C16" s="268">
        <f>HLOOKUP(Perf_table2[[#This Row],[Product]],Comb_scrd[#All],194,FALSE)</f>
        <v>20000000</v>
      </c>
      <c r="D16" s="268">
        <f>HLOOKUP(Perf_table2[[#This Row],[Product]],Comb_scrd[#All],195,FALSE)</f>
        <v>20000000</v>
      </c>
      <c r="E16" s="268">
        <f>HLOOKUP(Perf_table2[[#This Row],[Product]],Comb_scrd[#All],196,FALSE)</f>
        <v>583900</v>
      </c>
      <c r="F16" s="268">
        <f>HLOOKUP(Perf_table2[[#This Row],[Product]],Comb_scrd[#All],197,FALSE)</f>
        <v>174960</v>
      </c>
      <c r="G16" s="268">
        <f>HLOOKUP(Perf_table2[[#This Row],[Product]],Comb_scrd[#All],198,FALSE)</f>
        <v>207660</v>
      </c>
    </row>
    <row r="17" spans="1:17">
      <c r="B17" s="133" t="str">
        <f>Comb_scrd[[#Headers],[Palo Alto Networks PA-5020]]</f>
        <v>Palo Alto Networks PA-5020</v>
      </c>
      <c r="C17" s="268">
        <f>HLOOKUP(Perf_table2[[#This Row],[Product]],Comb_scrd[#All],194,FALSE)</f>
        <v>828753</v>
      </c>
      <c r="D17" s="268">
        <f>HLOOKUP(Perf_table2[[#This Row],[Product]],Comb_scrd[#All],195,FALSE)</f>
        <v>750611</v>
      </c>
      <c r="E17" s="268">
        <f>HLOOKUP(Perf_table2[[#This Row],[Product]],Comb_scrd[#All],196,FALSE)</f>
        <v>12005</v>
      </c>
      <c r="F17" s="268">
        <f>HLOOKUP(Perf_table2[[#This Row],[Product]],Comb_scrd[#All],197,FALSE)</f>
        <v>16200</v>
      </c>
      <c r="G17" s="268">
        <f>HLOOKUP(Perf_table2[[#This Row],[Product]],Comb_scrd[#All],198,FALSE)</f>
        <v>27229</v>
      </c>
    </row>
    <row r="18" spans="1:17">
      <c r="D18" s="222"/>
      <c r="E18" s="222"/>
      <c r="F18" s="222"/>
      <c r="G18" s="222"/>
    </row>
    <row r="19" spans="1:17" ht="36">
      <c r="H19" s="273" t="s">
        <v>161</v>
      </c>
    </row>
    <row r="20" spans="1:17" ht="24">
      <c r="A20" s="139" t="s">
        <v>427</v>
      </c>
      <c r="B20" s="266" t="s">
        <v>74</v>
      </c>
      <c r="C20" s="274" t="s">
        <v>445</v>
      </c>
      <c r="D20" s="274" t="s">
        <v>446</v>
      </c>
      <c r="E20" s="274" t="s">
        <v>447</v>
      </c>
      <c r="F20" s="274" t="s">
        <v>448</v>
      </c>
      <c r="G20" s="274" t="s">
        <v>449</v>
      </c>
      <c r="H20" s="274" t="s">
        <v>450</v>
      </c>
      <c r="I20" s="274" t="s">
        <v>451</v>
      </c>
      <c r="J20" s="274" t="s">
        <v>452</v>
      </c>
      <c r="K20" s="274" t="s">
        <v>453</v>
      </c>
      <c r="L20" s="274" t="s">
        <v>479</v>
      </c>
      <c r="M20" s="274" t="s">
        <v>441</v>
      </c>
      <c r="N20" s="274" t="s">
        <v>454</v>
      </c>
      <c r="O20" s="275" t="s">
        <v>442</v>
      </c>
      <c r="P20" s="275" t="s">
        <v>443</v>
      </c>
      <c r="Q20" s="275" t="s">
        <v>444</v>
      </c>
    </row>
    <row r="21" spans="1:17">
      <c r="B21" s="133" t="str">
        <f>Comb_scrd[[#Headers],[Cisco FirePOWER 8350]]</f>
        <v>Cisco FirePOWER 8350</v>
      </c>
      <c r="C21" s="269">
        <f>HLOOKUP(Perf_table3[[#This Row],[Product]],Comb_scrd[#All],200,FALSE)</f>
        <v>50000</v>
      </c>
      <c r="D21" s="269">
        <f>HLOOKUP(Perf_table3[[#This Row],[Product]],Comb_scrd[#All],201,FALSE)</f>
        <v>100000</v>
      </c>
      <c r="E21" s="269">
        <f>HLOOKUP(Perf_table3[[#This Row],[Product]],Comb_scrd[#All],202,FALSE)</f>
        <v>200000</v>
      </c>
      <c r="F21" s="269">
        <f>HLOOKUP(Perf_table3[[#This Row],[Product]],Comb_scrd[#All],203,FALSE)</f>
        <v>314200</v>
      </c>
      <c r="G21" s="269">
        <f>HLOOKUP(Perf_table3[[#This Row],[Product]],Comb_scrd[#All],204,FALSE)</f>
        <v>416900</v>
      </c>
      <c r="H21" s="276">
        <f>HLOOKUP(Perf_table3[[#This Row],[Product]],Comb_scrd[#All],206,FALSE)</f>
        <v>0.91270000000000007</v>
      </c>
      <c r="I21" s="276">
        <f>HLOOKUP(Perf_table3[[#This Row],[Product]],Comb_scrd[#All],207,FALSE)</f>
        <v>0.7660499999999999</v>
      </c>
      <c r="J21" s="276">
        <f>HLOOKUP(Perf_table3[[#This Row],[Product]],Comb_scrd[#All],208,FALSE)</f>
        <v>0.65175000000000005</v>
      </c>
      <c r="K21" s="276">
        <f>HLOOKUP(Perf_table3[[#This Row],[Product]],Comb_scrd[#All],209,FALSE)</f>
        <v>0.24854999999999999</v>
      </c>
      <c r="L21" s="276">
        <f>HLOOKUP(Perf_table3[[#This Row],[Product]],Comb_scrd[#All],210,FALSE)</f>
        <v>0.31985000000000002</v>
      </c>
      <c r="M21" s="269">
        <f>Perf_table3[[#This Row],[44 KB Response]]/2.5</f>
        <v>20000</v>
      </c>
      <c r="N21" s="269">
        <f>Perf_table3[[#This Row],[21 KB Response]]/5</f>
        <v>20000</v>
      </c>
      <c r="O21" s="269">
        <f>Perf_table3[[#This Row],[10 KB Response]]/10</f>
        <v>20000</v>
      </c>
      <c r="P21" s="269">
        <f>Perf_table3[[#This Row],[4.5 KB Response]]/20</f>
        <v>15710</v>
      </c>
      <c r="Q21" s="269">
        <f>Perf_table3[[#This Row],[1.7 KB Response]]/40</f>
        <v>10422.5</v>
      </c>
    </row>
    <row r="22" spans="1:17">
      <c r="B22" s="133" t="str">
        <f>Comb_scrd[[#Headers],[Fortinet FortiGate-1500D]]</f>
        <v>Fortinet FortiGate-1500D</v>
      </c>
      <c r="C22" s="269">
        <f>HLOOKUP(Perf_table3[[#This Row],[Product]],Comb_scrd[#All],200,FALSE)</f>
        <v>18059</v>
      </c>
      <c r="D22" s="269">
        <f>HLOOKUP(Perf_table3[[#This Row],[Product]],Comb_scrd[#All],201,FALSE)</f>
        <v>27980</v>
      </c>
      <c r="E22" s="269">
        <f>HLOOKUP(Perf_table3[[#This Row],[Product]],Comb_scrd[#All],202,FALSE)</f>
        <v>38980</v>
      </c>
      <c r="F22" s="269">
        <f>HLOOKUP(Perf_table3[[#This Row],[Product]],Comb_scrd[#All],203,FALSE)</f>
        <v>48230</v>
      </c>
      <c r="G22" s="269">
        <f>HLOOKUP(Perf_table3[[#This Row],[Product]],Comb_scrd[#All],204,FALSE)</f>
        <v>60030</v>
      </c>
      <c r="H22" s="276">
        <f>HLOOKUP(Perf_table3[[#This Row],[Product]],Comb_scrd[#All],206,FALSE)</f>
        <v>1.72905</v>
      </c>
      <c r="I22" s="276">
        <f>HLOOKUP(Perf_table3[[#This Row],[Product]],Comb_scrd[#All],207,FALSE)</f>
        <v>1.0848499999999999</v>
      </c>
      <c r="J22" s="276">
        <f>HLOOKUP(Perf_table3[[#This Row],[Product]],Comb_scrd[#All],208,FALSE)</f>
        <v>0.73780000000000001</v>
      </c>
      <c r="K22" s="276">
        <f>HLOOKUP(Perf_table3[[#This Row],[Product]],Comb_scrd[#All],209,FALSE)</f>
        <v>0.47075</v>
      </c>
      <c r="L22" s="276">
        <f>HLOOKUP(Perf_table3[[#This Row],[Product]],Comb_scrd[#All],210,FALSE)</f>
        <v>0.73345000000000005</v>
      </c>
      <c r="M22" s="269">
        <f>Perf_table3[[#This Row],[44 KB Response]]/2.5</f>
        <v>7223.6</v>
      </c>
      <c r="N22" s="269">
        <f>Perf_table3[[#This Row],[21 KB Response]]/5</f>
        <v>5596</v>
      </c>
      <c r="O22" s="269">
        <f>Perf_table3[[#This Row],[10 KB Response]]/10</f>
        <v>3898</v>
      </c>
      <c r="P22" s="269">
        <f>Perf_table3[[#This Row],[4.5 KB Response]]/20</f>
        <v>2411.5</v>
      </c>
      <c r="Q22" s="269">
        <f>Perf_table3[[#This Row],[1.7 KB Response]]/40</f>
        <v>1500.75</v>
      </c>
    </row>
    <row r="23" spans="1:17">
      <c r="B23" s="133" t="str">
        <f>Comb_scrd[[#Headers],[HP TippingPoint S7500NX]]</f>
        <v>HP TippingPoint S7500NX</v>
      </c>
      <c r="C23" s="269">
        <f>HLOOKUP(Perf_table3[[#This Row],[Product]],Comb_scrd[#All],200,FALSE)</f>
        <v>52310</v>
      </c>
      <c r="D23" s="269">
        <f>HLOOKUP(Perf_table3[[#This Row],[Product]],Comb_scrd[#All],201,FALSE)</f>
        <v>76780</v>
      </c>
      <c r="E23" s="269">
        <f>HLOOKUP(Perf_table3[[#This Row],[Product]],Comb_scrd[#All],202,FALSE)</f>
        <v>95620</v>
      </c>
      <c r="F23" s="269">
        <f>HLOOKUP(Perf_table3[[#This Row],[Product]],Comb_scrd[#All],203,FALSE)</f>
        <v>130430</v>
      </c>
      <c r="G23" s="269">
        <f>HLOOKUP(Perf_table3[[#This Row],[Product]],Comb_scrd[#All],204,FALSE)</f>
        <v>161600</v>
      </c>
      <c r="H23" s="276">
        <f>HLOOKUP(Perf_table3[[#This Row],[Product]],Comb_scrd[#All],206,FALSE)</f>
        <v>0.94804999999999995</v>
      </c>
      <c r="I23" s="276">
        <f>HLOOKUP(Perf_table3[[#This Row],[Product]],Comb_scrd[#All],207,FALSE)</f>
        <v>0.76732500000000003</v>
      </c>
      <c r="J23" s="276">
        <f>HLOOKUP(Perf_table3[[#This Row],[Product]],Comb_scrd[#All],208,FALSE)</f>
        <v>0.20632500000000001</v>
      </c>
      <c r="K23" s="276">
        <f>HLOOKUP(Perf_table3[[#This Row],[Product]],Comb_scrd[#All],209,FALSE)</f>
        <v>5.0750000000000003E-2</v>
      </c>
      <c r="L23" s="276">
        <f>HLOOKUP(Perf_table3[[#This Row],[Product]],Comb_scrd[#All],210,FALSE)</f>
        <v>1.6925000000000003E-2</v>
      </c>
      <c r="M23" s="269">
        <f>Perf_table3[[#This Row],[44 KB Response]]/2.5</f>
        <v>20924</v>
      </c>
      <c r="N23" s="269">
        <f>Perf_table3[[#This Row],[21 KB Response]]/5</f>
        <v>15356</v>
      </c>
      <c r="O23" s="269">
        <f>Perf_table3[[#This Row],[10 KB Response]]/10</f>
        <v>9562</v>
      </c>
      <c r="P23" s="269">
        <f>Perf_table3[[#This Row],[4.5 KB Response]]/20</f>
        <v>6521.5</v>
      </c>
      <c r="Q23" s="269">
        <f>Perf_table3[[#This Row],[1.7 KB Response]]/40</f>
        <v>4040</v>
      </c>
    </row>
    <row r="24" spans="1:17">
      <c r="B24" s="133" t="str">
        <f>Comb_scrd[[#Headers],[IBM Security Network Protection XGS 5100]]</f>
        <v>IBM Security Network Protection XGS 5100</v>
      </c>
      <c r="C24" s="269">
        <f>HLOOKUP(Perf_table3[[#This Row],[Product]],Comb_scrd[#All],200,FALSE)</f>
        <v>14543</v>
      </c>
      <c r="D24" s="269">
        <f>HLOOKUP(Perf_table3[[#This Row],[Product]],Comb_scrd[#All],201,FALSE)</f>
        <v>26100</v>
      </c>
      <c r="E24" s="269">
        <f>HLOOKUP(Perf_table3[[#This Row],[Product]],Comb_scrd[#All],202,FALSE)</f>
        <v>32820</v>
      </c>
      <c r="F24" s="269">
        <f>HLOOKUP(Perf_table3[[#This Row],[Product]],Comb_scrd[#All],203,FALSE)</f>
        <v>42780</v>
      </c>
      <c r="G24" s="269">
        <f>HLOOKUP(Perf_table3[[#This Row],[Product]],Comb_scrd[#All],204,FALSE)</f>
        <v>52800</v>
      </c>
      <c r="H24" s="276">
        <f>HLOOKUP(Perf_table3[[#This Row],[Product]],Comb_scrd[#All],206,FALSE)</f>
        <v>0.79435</v>
      </c>
      <c r="I24" s="276">
        <f>HLOOKUP(Perf_table3[[#This Row],[Product]],Comb_scrd[#All],207,FALSE)</f>
        <v>0.64054999999999995</v>
      </c>
      <c r="J24" s="276">
        <f>HLOOKUP(Perf_table3[[#This Row],[Product]],Comb_scrd[#All],208,FALSE)</f>
        <v>8.0750000000000002E-2</v>
      </c>
      <c r="K24" s="276">
        <f>HLOOKUP(Perf_table3[[#This Row],[Product]],Comb_scrd[#All],209,FALSE)</f>
        <v>4.5649999999999996E-2</v>
      </c>
      <c r="L24" s="276">
        <f>HLOOKUP(Perf_table3[[#This Row],[Product]],Comb_scrd[#All],210,FALSE)</f>
        <v>3.005E-2</v>
      </c>
      <c r="M24" s="269">
        <f>Perf_table3[[#This Row],[44 KB Response]]/2.5</f>
        <v>5817.2</v>
      </c>
      <c r="N24" s="269">
        <f>Perf_table3[[#This Row],[21 KB Response]]/5</f>
        <v>5220</v>
      </c>
      <c r="O24" s="269">
        <f>Perf_table3[[#This Row],[10 KB Response]]/10</f>
        <v>3282</v>
      </c>
      <c r="P24" s="269">
        <f>Perf_table3[[#This Row],[4.5 KB Response]]/20</f>
        <v>2139</v>
      </c>
      <c r="Q24" s="269">
        <f>Perf_table3[[#This Row],[1.7 KB Response]]/40</f>
        <v>1320</v>
      </c>
    </row>
    <row r="25" spans="1:17">
      <c r="B25" s="133" t="str">
        <f>Comb_scrd[[#Headers],[IBM Security Network Protection XGS 7100]]</f>
        <v>IBM Security Network Protection XGS 7100</v>
      </c>
      <c r="C25" s="269">
        <f>HLOOKUP(Perf_table3[[#This Row],[Product]],Comb_scrd[#All],200,FALSE)</f>
        <v>46930</v>
      </c>
      <c r="D25" s="269">
        <f>HLOOKUP(Perf_table3[[#This Row],[Product]],Comb_scrd[#All],201,FALSE)</f>
        <v>68800</v>
      </c>
      <c r="E25" s="269">
        <f>HLOOKUP(Perf_table3[[#This Row],[Product]],Comb_scrd[#All],202,FALSE)</f>
        <v>96860</v>
      </c>
      <c r="F25" s="269">
        <f>HLOOKUP(Perf_table3[[#This Row],[Product]],Comb_scrd[#All],203,FALSE)</f>
        <v>129570</v>
      </c>
      <c r="G25" s="269">
        <f>HLOOKUP(Perf_table3[[#This Row],[Product]],Comb_scrd[#All],204,FALSE)</f>
        <v>153530</v>
      </c>
      <c r="H25" s="276">
        <f>HLOOKUP(Perf_table3[[#This Row],[Product]],Comb_scrd[#All],206,FALSE)</f>
        <v>1.3349249999999999</v>
      </c>
      <c r="I25" s="276">
        <f>HLOOKUP(Perf_table3[[#This Row],[Product]],Comb_scrd[#All],207,FALSE)</f>
        <v>0.50819999999999999</v>
      </c>
      <c r="J25" s="276">
        <f>HLOOKUP(Perf_table3[[#This Row],[Product]],Comb_scrd[#All],208,FALSE)</f>
        <v>0.35062500000000002</v>
      </c>
      <c r="K25" s="276">
        <f>HLOOKUP(Perf_table3[[#This Row],[Product]],Comb_scrd[#All],209,FALSE)</f>
        <v>0.20892499999999997</v>
      </c>
      <c r="L25" s="276">
        <f>HLOOKUP(Perf_table3[[#This Row],[Product]],Comb_scrd[#All],210,FALSE)</f>
        <v>0.14745</v>
      </c>
      <c r="M25" s="269">
        <f>Perf_table3[[#This Row],[44 KB Response]]/2.5</f>
        <v>18772</v>
      </c>
      <c r="N25" s="269">
        <f>Perf_table3[[#This Row],[21 KB Response]]/5</f>
        <v>13760</v>
      </c>
      <c r="O25" s="269">
        <f>Perf_table3[[#This Row],[10 KB Response]]/10</f>
        <v>9686</v>
      </c>
      <c r="P25" s="269">
        <f>Perf_table3[[#This Row],[4.5 KB Response]]/20</f>
        <v>6478.5</v>
      </c>
      <c r="Q25" s="269">
        <f>Perf_table3[[#This Row],[1.7 KB Response]]/40</f>
        <v>3838.25</v>
      </c>
    </row>
    <row r="26" spans="1:17">
      <c r="B26" s="133" t="str">
        <f>Comb_scrd[[#Headers],[Palo Alto Networks PA-5020]]</f>
        <v>Palo Alto Networks PA-5020</v>
      </c>
      <c r="C26" s="269">
        <f>HLOOKUP(Perf_table3[[#This Row],[Product]],Comb_scrd[#All],200,FALSE)</f>
        <v>11641</v>
      </c>
      <c r="D26" s="269">
        <f>HLOOKUP(Perf_table3[[#This Row],[Product]],Comb_scrd[#All],201,FALSE)</f>
        <v>13263</v>
      </c>
      <c r="E26" s="269">
        <f>HLOOKUP(Perf_table3[[#This Row],[Product]],Comb_scrd[#All],202,FALSE)</f>
        <v>13805</v>
      </c>
      <c r="F26" s="269">
        <f>HLOOKUP(Perf_table3[[#This Row],[Product]],Comb_scrd[#All],203,FALSE)</f>
        <v>13920</v>
      </c>
      <c r="G26" s="269">
        <f>HLOOKUP(Perf_table3[[#This Row],[Product]],Comb_scrd[#All],204,FALSE)</f>
        <v>15369</v>
      </c>
      <c r="H26" s="276">
        <f>HLOOKUP(Perf_table3[[#This Row],[Product]],Comb_scrd[#All],206,FALSE)</f>
        <v>14.863866666666667</v>
      </c>
      <c r="I26" s="276">
        <f>HLOOKUP(Perf_table3[[#This Row],[Product]],Comb_scrd[#All],207,FALSE)</f>
        <v>8.6797333333333349</v>
      </c>
      <c r="J26" s="276">
        <f>HLOOKUP(Perf_table3[[#This Row],[Product]],Comb_scrd[#All],208,FALSE)</f>
        <v>5.3260000000000005</v>
      </c>
      <c r="K26" s="276">
        <f>HLOOKUP(Perf_table3[[#This Row],[Product]],Comb_scrd[#All],209,FALSE)</f>
        <v>5.9201000000000006</v>
      </c>
      <c r="L26" s="276">
        <f>HLOOKUP(Perf_table3[[#This Row],[Product]],Comb_scrd[#All],210,FALSE)</f>
        <v>11.447650000000001</v>
      </c>
      <c r="M26" s="269">
        <f>Perf_table3[[#This Row],[44 KB Response]]/2.5</f>
        <v>4656.3999999999996</v>
      </c>
      <c r="N26" s="269">
        <f>Perf_table3[[#This Row],[21 KB Response]]/5</f>
        <v>2652.6</v>
      </c>
      <c r="O26" s="269">
        <f>Perf_table3[[#This Row],[10 KB Response]]/10</f>
        <v>1380.5</v>
      </c>
      <c r="P26" s="269">
        <f>Perf_table3[[#This Row],[4.5 KB Response]]/20</f>
        <v>696</v>
      </c>
      <c r="Q26" s="269">
        <f>Perf_table3[[#This Row],[1.7 KB Response]]/40</f>
        <v>384.22500000000002</v>
      </c>
    </row>
    <row r="29" spans="1:17">
      <c r="A29" s="139" t="s">
        <v>428</v>
      </c>
      <c r="B29" s="266" t="s">
        <v>74</v>
      </c>
      <c r="C29" s="274" t="s">
        <v>455</v>
      </c>
      <c r="D29" s="274" t="s">
        <v>456</v>
      </c>
    </row>
    <row r="30" spans="1:17">
      <c r="B30" s="133" t="str">
        <f>Comb_scrd[[#Headers],[Cisco FirePOWER 8350]]</f>
        <v>Cisco FirePOWER 8350</v>
      </c>
      <c r="C30" s="269">
        <f>HLOOKUP(Perf_table4[[#This Row],[Product]],Comb_scrd[#All],212,FALSE)</f>
        <v>100000</v>
      </c>
      <c r="D30" s="269">
        <f>HLOOKUP(Perf_table4[[#This Row],[Product]],Comb_scrd[#All],213,FALSE)</f>
        <v>200000</v>
      </c>
    </row>
    <row r="31" spans="1:17">
      <c r="B31" s="133" t="str">
        <f>Comb_scrd[[#Headers],[Fortinet FortiGate-1500D]]</f>
        <v>Fortinet FortiGate-1500D</v>
      </c>
      <c r="C31" s="269">
        <f>HLOOKUP(Perf_table4[[#This Row],[Product]],Comb_scrd[#All],212,FALSE)</f>
        <v>27980</v>
      </c>
      <c r="D31" s="269">
        <f>HLOOKUP(Perf_table4[[#This Row],[Product]],Comb_scrd[#All],213,FALSE)</f>
        <v>38980</v>
      </c>
    </row>
    <row r="32" spans="1:17">
      <c r="B32" s="133" t="str">
        <f>Comb_scrd[[#Headers],[HP TippingPoint S7500NX]]</f>
        <v>HP TippingPoint S7500NX</v>
      </c>
      <c r="C32" s="269">
        <f>HLOOKUP(Perf_table4[[#This Row],[Product]],Comb_scrd[#All],212,FALSE)</f>
        <v>76780</v>
      </c>
      <c r="D32" s="269">
        <f>HLOOKUP(Perf_table4[[#This Row],[Product]],Comb_scrd[#All],213,FALSE)</f>
        <v>95620</v>
      </c>
    </row>
    <row r="33" spans="1:14">
      <c r="B33" s="133" t="str">
        <f>Comb_scrd[[#Headers],[IBM Security Network Protection XGS 5100]]</f>
        <v>IBM Security Network Protection XGS 5100</v>
      </c>
      <c r="C33" s="269">
        <f>HLOOKUP(Perf_table4[[#This Row],[Product]],Comb_scrd[#All],212,FALSE)</f>
        <v>26100</v>
      </c>
      <c r="D33" s="269">
        <f>HLOOKUP(Perf_table4[[#This Row],[Product]],Comb_scrd[#All],213,FALSE)</f>
        <v>32820</v>
      </c>
    </row>
    <row r="34" spans="1:14">
      <c r="B34" s="133" t="str">
        <f>Comb_scrd[[#Headers],[IBM Security Network Protection XGS 7100]]</f>
        <v>IBM Security Network Protection XGS 7100</v>
      </c>
      <c r="C34" s="269">
        <f>HLOOKUP(Perf_table4[[#This Row],[Product]],Comb_scrd[#All],212,FALSE)</f>
        <v>68800</v>
      </c>
      <c r="D34" s="269">
        <f>HLOOKUP(Perf_table4[[#This Row],[Product]],Comb_scrd[#All],213,FALSE)</f>
        <v>96860</v>
      </c>
    </row>
    <row r="35" spans="1:14">
      <c r="B35" s="133" t="str">
        <f>Comb_scrd[[#Headers],[Palo Alto Networks PA-5020]]</f>
        <v>Palo Alto Networks PA-5020</v>
      </c>
      <c r="C35" s="269">
        <f>HLOOKUP(Perf_table4[[#This Row],[Product]],Comb_scrd[#All],212,FALSE)</f>
        <v>13263</v>
      </c>
      <c r="D35" s="269">
        <f>HLOOKUP(Perf_table4[[#This Row],[Product]],Comb_scrd[#All],213,FALSE)</f>
        <v>13805</v>
      </c>
    </row>
    <row r="38" spans="1:14" ht="24">
      <c r="A38" s="139" t="s">
        <v>429</v>
      </c>
      <c r="B38" s="277" t="s">
        <v>74</v>
      </c>
      <c r="C38" s="274" t="s">
        <v>137</v>
      </c>
      <c r="D38" s="274" t="s">
        <v>37</v>
      </c>
      <c r="E38" s="274" t="s">
        <v>39</v>
      </c>
      <c r="F38" s="274" t="s">
        <v>40</v>
      </c>
      <c r="G38" s="274" t="s">
        <v>41</v>
      </c>
      <c r="H38" s="274" t="s">
        <v>42</v>
      </c>
      <c r="I38" s="274" t="s">
        <v>169</v>
      </c>
      <c r="J38" s="274" t="s">
        <v>164</v>
      </c>
      <c r="K38" s="274" t="s">
        <v>165</v>
      </c>
      <c r="L38" s="274" t="s">
        <v>166</v>
      </c>
      <c r="M38" s="274" t="s">
        <v>167</v>
      </c>
      <c r="N38" s="274" t="s">
        <v>168</v>
      </c>
    </row>
    <row r="39" spans="1:14">
      <c r="B39" s="133" t="str">
        <f>Comb_scrd[[#Headers],[Cisco FirePOWER 8350]]</f>
        <v>Cisco FirePOWER 8350</v>
      </c>
      <c r="C39" s="269">
        <f>HLOOKUP(Perf_table5[[#This Row],[Product]],Comb_scrd[#All],180,FALSE)</f>
        <v>2964</v>
      </c>
      <c r="D39" s="269">
        <f>HLOOKUP(Perf_table5[[#This Row],[Product]],Comb_scrd[#All],181,FALSE)</f>
        <v>4752</v>
      </c>
      <c r="E39" s="269">
        <f>HLOOKUP(Perf_table5[[#This Row],[Product]],Comb_scrd[#All],182,FALSE)</f>
        <v>8109</v>
      </c>
      <c r="F39" s="269">
        <f>HLOOKUP(Perf_table5[[#This Row],[Product]],Comb_scrd[#All],183,FALSE)</f>
        <v>13780</v>
      </c>
      <c r="G39" s="269">
        <f>HLOOKUP(Perf_table5[[#This Row],[Product]],Comb_scrd[#All],184,FALSE)</f>
        <v>19610</v>
      </c>
      <c r="H39" s="269">
        <f>HLOOKUP(Perf_table5[[#This Row],[Product]],Comb_scrd[#All],185,FALSE)</f>
        <v>19370</v>
      </c>
      <c r="I39" s="278">
        <f>HLOOKUP(Perf_table5[[#This Row],[Product]],Comb_scrd[#All],187,FALSE)</f>
        <v>108.00949999999999</v>
      </c>
      <c r="J39" s="278">
        <f>HLOOKUP(Perf_table5[[#This Row],[Product]],Comb_scrd[#All],188,FALSE)</f>
        <v>103.88124999999999</v>
      </c>
      <c r="K39" s="278">
        <f>HLOOKUP(Perf_table5[[#This Row],[Product]],Comb_scrd[#All],189,FALSE)</f>
        <v>104.295</v>
      </c>
      <c r="L39" s="278">
        <f>HLOOKUP(Perf_table5[[#This Row],[Product]],Comb_scrd[#All],190,FALSE)</f>
        <v>107.77350000000001</v>
      </c>
      <c r="M39" s="278">
        <f>HLOOKUP(Perf_table5[[#This Row],[Product]],Comb_scrd[#All],191,FALSE)</f>
        <v>113.77754999999999</v>
      </c>
      <c r="N39" s="278">
        <f>HLOOKUP(Perf_table5[[#This Row],[Product]],Comb_scrd[#All],192,FALSE)</f>
        <v>113.4165</v>
      </c>
    </row>
    <row r="40" spans="1:14">
      <c r="B40" s="133" t="str">
        <f>Comb_scrd[[#Headers],[Fortinet FortiGate-1500D]]</f>
        <v>Fortinet FortiGate-1500D</v>
      </c>
      <c r="C40" s="269">
        <f>HLOOKUP(Perf_table5[[#This Row],[Product]],Comb_scrd[#All],180,FALSE)</f>
        <v>38400</v>
      </c>
      <c r="D40" s="269">
        <f>HLOOKUP(Perf_table5[[#This Row],[Product]],Comb_scrd[#All],181,FALSE)</f>
        <v>39200</v>
      </c>
      <c r="E40" s="269">
        <f>HLOOKUP(Perf_table5[[#This Row],[Product]],Comb_scrd[#All],182,FALSE)</f>
        <v>39760</v>
      </c>
      <c r="F40" s="269">
        <f>HLOOKUP(Perf_table5[[#This Row],[Product]],Comb_scrd[#All],183,FALSE)</f>
        <v>40000</v>
      </c>
      <c r="G40" s="269">
        <f>HLOOKUP(Perf_table5[[#This Row],[Product]],Comb_scrd[#All],184,FALSE)</f>
        <v>40000</v>
      </c>
      <c r="H40" s="269">
        <f>HLOOKUP(Perf_table5[[#This Row],[Product]],Comb_scrd[#All],185,FALSE)</f>
        <v>40000</v>
      </c>
      <c r="I40" s="278">
        <f>HLOOKUP(Perf_table5[[#This Row],[Product]],Comb_scrd[#All],187,FALSE)</f>
        <v>3.8807500000000004</v>
      </c>
      <c r="J40" s="278">
        <f>HLOOKUP(Perf_table5[[#This Row],[Product]],Comb_scrd[#All],188,FALSE)</f>
        <v>4.0265000000000004</v>
      </c>
      <c r="K40" s="278">
        <f>HLOOKUP(Perf_table5[[#This Row],[Product]],Comb_scrd[#All],189,FALSE)</f>
        <v>4.4377500000000003</v>
      </c>
      <c r="L40" s="278">
        <f>HLOOKUP(Perf_table5[[#This Row],[Product]],Comb_scrd[#All],190,FALSE)</f>
        <v>5.0992499999999996</v>
      </c>
      <c r="M40" s="278">
        <f>HLOOKUP(Perf_table5[[#This Row],[Product]],Comb_scrd[#All],191,FALSE)</f>
        <v>6.4452500000000006</v>
      </c>
      <c r="N40" s="278">
        <f>HLOOKUP(Perf_table5[[#This Row],[Product]],Comb_scrd[#All],192,FALSE)</f>
        <v>7.6897500000000001</v>
      </c>
    </row>
    <row r="41" spans="1:14">
      <c r="B41" s="133" t="str">
        <f>Comb_scrd[[#Headers],[HP TippingPoint S7500NX]]</f>
        <v>HP TippingPoint S7500NX</v>
      </c>
      <c r="C41" s="269">
        <f>HLOOKUP(Perf_table5[[#This Row],[Product]],Comb_scrd[#All],180,FALSE)</f>
        <v>7737</v>
      </c>
      <c r="D41" s="269">
        <f>HLOOKUP(Perf_table5[[#This Row],[Product]],Comb_scrd[#All],181,FALSE)</f>
        <v>10110</v>
      </c>
      <c r="E41" s="269">
        <f>HLOOKUP(Perf_table5[[#This Row],[Product]],Comb_scrd[#All],182,FALSE)</f>
        <v>11875</v>
      </c>
      <c r="F41" s="269">
        <f>HLOOKUP(Perf_table5[[#This Row],[Product]],Comb_scrd[#All],183,FALSE)</f>
        <v>13261</v>
      </c>
      <c r="G41" s="269">
        <f>HLOOKUP(Perf_table5[[#This Row],[Product]],Comb_scrd[#All],184,FALSE)</f>
        <v>14139</v>
      </c>
      <c r="H41" s="269">
        <f>HLOOKUP(Perf_table5[[#This Row],[Product]],Comb_scrd[#All],185,FALSE)</f>
        <v>14439</v>
      </c>
      <c r="I41" s="278">
        <f>HLOOKUP(Perf_table5[[#This Row],[Product]],Comb_scrd[#All],187,FALSE)</f>
        <v>5.9879999999999995</v>
      </c>
      <c r="J41" s="278">
        <f>HLOOKUP(Perf_table5[[#This Row],[Product]],Comb_scrd[#All],188,FALSE)</f>
        <v>5.976375</v>
      </c>
      <c r="K41" s="278">
        <f>HLOOKUP(Perf_table5[[#This Row],[Product]],Comb_scrd[#All],189,FALSE)</f>
        <v>6.2072500000000002</v>
      </c>
      <c r="L41" s="278">
        <f>HLOOKUP(Perf_table5[[#This Row],[Product]],Comb_scrd[#All],190,FALSE)</f>
        <v>7.2056250000000004</v>
      </c>
      <c r="M41" s="278">
        <f>HLOOKUP(Perf_table5[[#This Row],[Product]],Comb_scrd[#All],191,FALSE)</f>
        <v>9.2341250000000006</v>
      </c>
      <c r="N41" s="278">
        <f>HLOOKUP(Perf_table5[[#This Row],[Product]],Comb_scrd[#All],192,FALSE)</f>
        <v>11.660499999999999</v>
      </c>
    </row>
    <row r="42" spans="1:14">
      <c r="B42" s="133" t="str">
        <f>Comb_scrd[[#Headers],[IBM Security Network Protection XGS 5100]]</f>
        <v>IBM Security Network Protection XGS 5100</v>
      </c>
      <c r="C42" s="269">
        <f>HLOOKUP(Perf_table5[[#This Row],[Product]],Comb_scrd[#All],180,FALSE)</f>
        <v>1866.7</v>
      </c>
      <c r="D42" s="269">
        <f>HLOOKUP(Perf_table5[[#This Row],[Product]],Comb_scrd[#All],181,FALSE)</f>
        <v>3247.7</v>
      </c>
      <c r="E42" s="269">
        <f>HLOOKUP(Perf_table5[[#This Row],[Product]],Comb_scrd[#All],182,FALSE)</f>
        <v>6233</v>
      </c>
      <c r="F42" s="269">
        <f>HLOOKUP(Perf_table5[[#This Row],[Product]],Comb_scrd[#All],183,FALSE)</f>
        <v>12169</v>
      </c>
      <c r="G42" s="269">
        <f>HLOOKUP(Perf_table5[[#This Row],[Product]],Comb_scrd[#All],184,FALSE)</f>
        <v>21722</v>
      </c>
      <c r="H42" s="269">
        <f>HLOOKUP(Perf_table5[[#This Row],[Product]],Comb_scrd[#All],185,FALSE)</f>
        <v>21698</v>
      </c>
      <c r="I42" s="278">
        <f>HLOOKUP(Perf_table5[[#This Row],[Product]],Comb_scrd[#All],187,FALSE)</f>
        <v>7.4867500000000007</v>
      </c>
      <c r="J42" s="278">
        <f>HLOOKUP(Perf_table5[[#This Row],[Product]],Comb_scrd[#All],188,FALSE)</f>
        <v>8.206999999999999</v>
      </c>
      <c r="K42" s="278">
        <f>HLOOKUP(Perf_table5[[#This Row],[Product]],Comb_scrd[#All],189,FALSE)</f>
        <v>8.8109999999999999</v>
      </c>
      <c r="L42" s="278">
        <f>HLOOKUP(Perf_table5[[#This Row],[Product]],Comb_scrd[#All],190,FALSE)</f>
        <v>9.6892500000000013</v>
      </c>
      <c r="M42" s="278">
        <f>HLOOKUP(Perf_table5[[#This Row],[Product]],Comb_scrd[#All],191,FALSE)</f>
        <v>10.632</v>
      </c>
      <c r="N42" s="278">
        <f>HLOOKUP(Perf_table5[[#This Row],[Product]],Comb_scrd[#All],192,FALSE)</f>
        <v>10.558249999999999</v>
      </c>
    </row>
    <row r="43" spans="1:14">
      <c r="B43" s="133" t="str">
        <f>Comb_scrd[[#Headers],[IBM Security Network Protection XGS 7100]]</f>
        <v>IBM Security Network Protection XGS 7100</v>
      </c>
      <c r="C43" s="269">
        <f>HLOOKUP(Perf_table5[[#This Row],[Product]],Comb_scrd[#All],180,FALSE)</f>
        <v>1937.1</v>
      </c>
      <c r="D43" s="269">
        <f>HLOOKUP(Perf_table5[[#This Row],[Product]],Comb_scrd[#All],181,FALSE)</f>
        <v>3512.1000000000004</v>
      </c>
      <c r="E43" s="269">
        <f>HLOOKUP(Perf_table5[[#This Row],[Product]],Comb_scrd[#All],182,FALSE)</f>
        <v>6679.7000000000007</v>
      </c>
      <c r="F43" s="269">
        <f>HLOOKUP(Perf_table5[[#This Row],[Product]],Comb_scrd[#All],183,FALSE)</f>
        <v>13053</v>
      </c>
      <c r="G43" s="269">
        <f>HLOOKUP(Perf_table5[[#This Row],[Product]],Comb_scrd[#All],184,FALSE)</f>
        <v>25667</v>
      </c>
      <c r="H43" s="269">
        <f>HLOOKUP(Perf_table5[[#This Row],[Product]],Comb_scrd[#All],185,FALSE)</f>
        <v>33152</v>
      </c>
      <c r="I43" s="278">
        <f>HLOOKUP(Perf_table5[[#This Row],[Product]],Comb_scrd[#All],187,FALSE)</f>
        <v>6.3895</v>
      </c>
      <c r="J43" s="278">
        <f>HLOOKUP(Perf_table5[[#This Row],[Product]],Comb_scrd[#All],188,FALSE)</f>
        <v>7.4452499999999988</v>
      </c>
      <c r="K43" s="278">
        <f>HLOOKUP(Perf_table5[[#This Row],[Product]],Comb_scrd[#All],189,FALSE)</f>
        <v>7.8101249999999993</v>
      </c>
      <c r="L43" s="278">
        <f>HLOOKUP(Perf_table5[[#This Row],[Product]],Comb_scrd[#All],190,FALSE)</f>
        <v>7.5092499999999998</v>
      </c>
      <c r="M43" s="278">
        <f>HLOOKUP(Perf_table5[[#This Row],[Product]],Comb_scrd[#All],191,FALSE)</f>
        <v>8.6751250000000013</v>
      </c>
      <c r="N43" s="278">
        <f>HLOOKUP(Perf_table5[[#This Row],[Product]],Comb_scrd[#All],192,FALSE)</f>
        <v>10.237875000000001</v>
      </c>
    </row>
    <row r="44" spans="1:14">
      <c r="B44" s="133" t="str">
        <f>Comb_scrd[[#Headers],[Palo Alto Networks PA-5020]]</f>
        <v>Palo Alto Networks PA-5020</v>
      </c>
      <c r="C44" s="269">
        <f>HLOOKUP(Perf_table5[[#This Row],[Product]],Comb_scrd[#All],180,FALSE)</f>
        <v>5040</v>
      </c>
      <c r="D44" s="269">
        <f>HLOOKUP(Perf_table5[[#This Row],[Product]],Comb_scrd[#All],181,FALSE)</f>
        <v>9138</v>
      </c>
      <c r="E44" s="269">
        <f>HLOOKUP(Perf_table5[[#This Row],[Product]],Comb_scrd[#All],182,FALSE)</f>
        <v>9601</v>
      </c>
      <c r="F44" s="269">
        <f>HLOOKUP(Perf_table5[[#This Row],[Product]],Comb_scrd[#All],183,FALSE)</f>
        <v>9816</v>
      </c>
      <c r="G44" s="269">
        <f>HLOOKUP(Perf_table5[[#This Row],[Product]],Comb_scrd[#All],184,FALSE)</f>
        <v>9844</v>
      </c>
      <c r="H44" s="269">
        <f>HLOOKUP(Perf_table5[[#This Row],[Product]],Comb_scrd[#All],185,FALSE)</f>
        <v>9844</v>
      </c>
      <c r="I44" s="278">
        <f>HLOOKUP(Perf_table5[[#This Row],[Product]],Comb_scrd[#All],187,FALSE)</f>
        <v>14.576666666666668</v>
      </c>
      <c r="J44" s="278">
        <f>HLOOKUP(Perf_table5[[#This Row],[Product]],Comb_scrd[#All],188,FALSE)</f>
        <v>15.631750000000002</v>
      </c>
      <c r="K44" s="278">
        <f>HLOOKUP(Perf_table5[[#This Row],[Product]],Comb_scrd[#All],189,FALSE)</f>
        <v>17.389083333333335</v>
      </c>
      <c r="L44" s="278">
        <f>HLOOKUP(Perf_table5[[#This Row],[Product]],Comb_scrd[#All],190,FALSE)</f>
        <v>20.683</v>
      </c>
      <c r="M44" s="278">
        <f>HLOOKUP(Perf_table5[[#This Row],[Product]],Comb_scrd[#All],191,FALSE)</f>
        <v>26.791333333333338</v>
      </c>
      <c r="N44" s="278">
        <f>HLOOKUP(Perf_table5[[#This Row],[Product]],Comb_scrd[#All],192,FALSE)</f>
        <v>32.582749999999997</v>
      </c>
    </row>
    <row r="47" spans="1:14" ht="24">
      <c r="A47" s="139" t="s">
        <v>430</v>
      </c>
      <c r="B47" s="279" t="s">
        <v>74</v>
      </c>
      <c r="C47" s="274" t="s">
        <v>359</v>
      </c>
      <c r="D47" s="274" t="s">
        <v>689</v>
      </c>
      <c r="E47" s="274" t="s">
        <v>360</v>
      </c>
      <c r="F47" s="274" t="s">
        <v>361</v>
      </c>
      <c r="M47" s="133"/>
      <c r="N47" s="133"/>
    </row>
    <row r="48" spans="1:14">
      <c r="B48" s="133" t="str">
        <f>Comb_scrd[[#Headers],[Cisco FirePOWER 8350]]</f>
        <v>Cisco FirePOWER 8350</v>
      </c>
      <c r="C48" s="269">
        <f>HLOOKUP(Perf_table6[[#This Row],[Product]],Comb_scrd[#All],215,FALSE)</f>
        <v>20000</v>
      </c>
      <c r="D48" s="269">
        <f>HLOOKUP(Perf_table6[[#This Row],[Product]],Comb_scrd[#All],216,FALSE)</f>
        <v>20000</v>
      </c>
      <c r="E48" s="269">
        <f>HLOOKUP(Perf_table6[[#This Row],[Product]],Comb_scrd[#All],217,FALSE)</f>
        <v>13029</v>
      </c>
      <c r="F48" s="269">
        <f>HLOOKUP(Perf_table6[[#This Row],[Product]],Comb_scrd[#All],218,FALSE)</f>
        <v>19635</v>
      </c>
      <c r="M48" s="133"/>
      <c r="N48" s="133"/>
    </row>
    <row r="49" spans="1:14">
      <c r="B49" s="133" t="str">
        <f>Comb_scrd[[#Headers],[Fortinet FortiGate-1500D]]</f>
        <v>Fortinet FortiGate-1500D</v>
      </c>
      <c r="C49" s="269">
        <f>HLOOKUP(Perf_table6[[#This Row],[Product]],Comb_scrd[#All],215,FALSE)</f>
        <v>9362</v>
      </c>
      <c r="D49" s="269">
        <f>HLOOKUP(Perf_table6[[#This Row],[Product]],Comb_scrd[#All],216,FALSE)</f>
        <v>20000</v>
      </c>
      <c r="E49" s="269">
        <f>HLOOKUP(Perf_table6[[#This Row],[Product]],Comb_scrd[#All],217,FALSE)</f>
        <v>4218</v>
      </c>
      <c r="F49" s="269">
        <f>HLOOKUP(Perf_table6[[#This Row],[Product]],Comb_scrd[#All],218,FALSE)</f>
        <v>19458</v>
      </c>
      <c r="M49" s="133"/>
      <c r="N49" s="133"/>
    </row>
    <row r="50" spans="1:14">
      <c r="B50" s="133" t="str">
        <f>Comb_scrd[[#Headers],[HP TippingPoint S7500NX]]</f>
        <v>HP TippingPoint S7500NX</v>
      </c>
      <c r="C50" s="269">
        <f>HLOOKUP(Perf_table6[[#This Row],[Product]],Comb_scrd[#All],215,FALSE)</f>
        <v>23830</v>
      </c>
      <c r="D50" s="269">
        <f>HLOOKUP(Perf_table6[[#This Row],[Product]],Comb_scrd[#All],216,FALSE)</f>
        <v>27060</v>
      </c>
      <c r="E50" s="269">
        <f>HLOOKUP(Perf_table6[[#This Row],[Product]],Comb_scrd[#All],217,FALSE)</f>
        <v>6456</v>
      </c>
      <c r="F50" s="269">
        <f>HLOOKUP(Perf_table6[[#This Row],[Product]],Comb_scrd[#All],218,FALSE)</f>
        <v>20770</v>
      </c>
      <c r="M50" s="133"/>
      <c r="N50" s="133"/>
    </row>
    <row r="51" spans="1:14">
      <c r="B51" s="133" t="str">
        <f>Comb_scrd[[#Headers],[IBM Security Network Protection XGS 5100]]</f>
        <v>IBM Security Network Protection XGS 5100</v>
      </c>
      <c r="C51" s="269">
        <f>HLOOKUP(Perf_table6[[#This Row],[Product]],Comb_scrd[#All],215,FALSE)</f>
        <v>14047</v>
      </c>
      <c r="D51" s="269">
        <f>HLOOKUP(Perf_table6[[#This Row],[Product]],Comb_scrd[#All],216,FALSE)</f>
        <v>7061</v>
      </c>
      <c r="E51" s="269">
        <f>HLOOKUP(Perf_table6[[#This Row],[Product]],Comb_scrd[#All],217,FALSE)</f>
        <v>4840</v>
      </c>
      <c r="F51" s="269">
        <f>HLOOKUP(Perf_table6[[#This Row],[Product]],Comb_scrd[#All],218,FALSE)</f>
        <v>14673</v>
      </c>
      <c r="M51" s="133"/>
      <c r="N51" s="133"/>
    </row>
    <row r="52" spans="1:14">
      <c r="B52" s="133" t="str">
        <f>Comb_scrd[[#Headers],[IBM Security Network Protection XGS 7100]]</f>
        <v>IBM Security Network Protection XGS 7100</v>
      </c>
      <c r="C52" s="269">
        <f>HLOOKUP(Perf_table6[[#This Row],[Product]],Comb_scrd[#All],215,FALSE)</f>
        <v>40000</v>
      </c>
      <c r="D52" s="269">
        <f>HLOOKUP(Perf_table6[[#This Row],[Product]],Comb_scrd[#All],216,FALSE)</f>
        <v>25210</v>
      </c>
      <c r="E52" s="269">
        <f>HLOOKUP(Perf_table6[[#This Row],[Product]],Comb_scrd[#All],217,FALSE)</f>
        <v>9300</v>
      </c>
      <c r="F52" s="269">
        <f>HLOOKUP(Perf_table6[[#This Row],[Product]],Comb_scrd[#All],218,FALSE)</f>
        <v>32700</v>
      </c>
      <c r="M52" s="133"/>
      <c r="N52" s="133"/>
    </row>
    <row r="53" spans="1:14">
      <c r="B53" s="133" t="str">
        <f>Comb_scrd[[#Headers],[Palo Alto Networks PA-5020]]</f>
        <v>Palo Alto Networks PA-5020</v>
      </c>
      <c r="C53" s="269">
        <f>HLOOKUP(Perf_table6[[#This Row],[Product]],Comb_scrd[#All],215,FALSE)</f>
        <v>3061.8</v>
      </c>
      <c r="D53" s="269">
        <f>HLOOKUP(Perf_table6[[#This Row],[Product]],Comb_scrd[#All],216,FALSE)</f>
        <v>3581</v>
      </c>
      <c r="E53" s="269">
        <f>HLOOKUP(Perf_table6[[#This Row],[Product]],Comb_scrd[#All],217,FALSE)</f>
        <v>704.7</v>
      </c>
      <c r="F53" s="269">
        <f>HLOOKUP(Perf_table6[[#This Row],[Product]],Comb_scrd[#All],218,FALSE)</f>
        <v>4864</v>
      </c>
      <c r="M53" s="133"/>
      <c r="N53" s="133"/>
    </row>
    <row r="54" spans="1:14" s="280" customFormat="1" ht="15" customHeight="1">
      <c r="A54" s="402" t="s">
        <v>470</v>
      </c>
      <c r="B54" s="402"/>
      <c r="C54" s="402"/>
      <c r="D54" s="402"/>
      <c r="E54" s="402"/>
      <c r="F54" s="256"/>
      <c r="G54" s="256"/>
      <c r="H54" s="256"/>
      <c r="I54" s="256"/>
      <c r="J54" s="256"/>
      <c r="K54" s="256"/>
      <c r="L54" s="256"/>
      <c r="M54" s="256"/>
      <c r="N54" s="256"/>
    </row>
    <row r="55" spans="1:14" s="280" customFormat="1" ht="15" customHeight="1">
      <c r="A55" s="402"/>
      <c r="B55" s="402"/>
      <c r="C55" s="402"/>
      <c r="D55" s="402"/>
      <c r="E55" s="402"/>
      <c r="F55" s="256"/>
      <c r="G55" s="256"/>
      <c r="H55" s="256"/>
      <c r="I55" s="256"/>
      <c r="J55" s="256"/>
      <c r="K55" s="256"/>
      <c r="L55" s="256"/>
      <c r="M55" s="256"/>
      <c r="N55" s="256"/>
    </row>
    <row r="59" spans="1:14">
      <c r="A59" s="131" t="s">
        <v>388</v>
      </c>
    </row>
    <row r="87" spans="1:119">
      <c r="A87" s="131" t="s">
        <v>389</v>
      </c>
    </row>
    <row r="95" spans="1:119">
      <c r="D95" s="281"/>
      <c r="K95" s="281"/>
      <c r="AU95" s="281"/>
    </row>
    <row r="96" spans="1:119">
      <c r="T96" s="281"/>
      <c r="AG96" s="282"/>
      <c r="BJ96" s="281"/>
      <c r="BX96" s="281"/>
      <c r="CL96" s="281"/>
      <c r="CZ96" s="281" t="s">
        <v>396</v>
      </c>
      <c r="DO96" s="281" t="s">
        <v>397</v>
      </c>
    </row>
    <row r="114" spans="1:92">
      <c r="A114" s="131" t="s">
        <v>390</v>
      </c>
    </row>
    <row r="121" spans="1:92">
      <c r="U121" s="281"/>
    </row>
    <row r="126" spans="1:92">
      <c r="AH126" s="281"/>
      <c r="BK126" s="281"/>
      <c r="BZ126" s="281"/>
      <c r="CN126" s="281"/>
    </row>
    <row r="127" spans="1:92">
      <c r="D127" s="281"/>
      <c r="K127" s="281"/>
      <c r="T127" s="281"/>
      <c r="AW127" s="281"/>
    </row>
    <row r="143" spans="1:1">
      <c r="A143" s="131"/>
    </row>
    <row r="144" spans="1:1">
      <c r="A144" s="131"/>
    </row>
    <row r="145" spans="1:1">
      <c r="A145" s="131"/>
    </row>
    <row r="147" spans="1:1">
      <c r="A147" s="131"/>
    </row>
    <row r="148" spans="1:1">
      <c r="A148" s="131" t="s">
        <v>417</v>
      </c>
    </row>
    <row r="149" spans="1:1">
      <c r="A149" s="131"/>
    </row>
    <row r="176" spans="1:1">
      <c r="A176" s="131" t="s">
        <v>418</v>
      </c>
    </row>
    <row r="197" spans="1:1">
      <c r="A197" s="139" t="s">
        <v>419</v>
      </c>
    </row>
    <row r="219" spans="1:1">
      <c r="A219" s="139" t="s">
        <v>392</v>
      </c>
    </row>
    <row r="241" spans="1:1">
      <c r="A241" s="139" t="s">
        <v>393</v>
      </c>
    </row>
    <row r="248" spans="1:1">
      <c r="A248" s="139"/>
    </row>
    <row r="263" spans="1:1">
      <c r="A263" s="139" t="s">
        <v>394</v>
      </c>
    </row>
    <row r="268" spans="1:1">
      <c r="A268" s="139"/>
    </row>
    <row r="283" spans="1:2">
      <c r="A283" s="139" t="s">
        <v>395</v>
      </c>
      <c r="B283" s="133" t="s">
        <v>485</v>
      </c>
    </row>
    <row r="284" spans="1:2">
      <c r="A284" s="139" t="s">
        <v>396</v>
      </c>
      <c r="B284" s="133" t="s">
        <v>485</v>
      </c>
    </row>
    <row r="285" spans="1:2">
      <c r="A285" s="139"/>
    </row>
    <row r="286" spans="1:2">
      <c r="A286" s="131" t="s">
        <v>397</v>
      </c>
    </row>
    <row r="308" spans="1:1">
      <c r="A308" s="139" t="s">
        <v>420</v>
      </c>
    </row>
    <row r="331" spans="1:1">
      <c r="A331" s="139" t="s">
        <v>421</v>
      </c>
    </row>
    <row r="353" spans="1:1">
      <c r="A353" s="139" t="s">
        <v>424</v>
      </c>
    </row>
    <row r="375" spans="1:1">
      <c r="A375" s="131" t="s">
        <v>398</v>
      </c>
    </row>
    <row r="399" spans="1:1">
      <c r="A399" s="131" t="s">
        <v>674</v>
      </c>
    </row>
  </sheetData>
  <sheetProtection algorithmName="SHA-512" hashValue="xI4hfMZHiJatOhcDsLS+AgO5mzCTsmdSlV2WMy1mZea9UA4IOawAvIeGjrn5cmPtGrtBVZic3sdG2sxz5+5Vlg==" saltValue="NSaUQhRBmeyVWtz/c/9hew==" spinCount="100000" sheet="1" objects="1" scenarios="1"/>
  <mergeCells count="1">
    <mergeCell ref="A54:E55"/>
  </mergeCells>
  <conditionalFormatting sqref="E3:E8">
    <cfRule type="colorScale" priority="1">
      <colorScale>
        <cfvo type="min"/>
        <cfvo type="percentile" val="50"/>
        <cfvo type="max"/>
        <color rgb="FFF8696B"/>
        <color rgb="FFFCFCFF"/>
        <color rgb="FF63BE7B"/>
      </colorScale>
    </cfRule>
    <cfRule type="cellIs" dxfId="198" priority="2" operator="greaterThan">
      <formula>0</formula>
    </cfRule>
  </conditionalFormatting>
  <pageMargins left="0.75" right="0.75" top="1" bottom="1" header="0.5" footer="0.5"/>
  <pageSetup orientation="portrait" horizontalDpi="4294967292" verticalDpi="4294967292" r:id="rId1"/>
  <drawing r:id="rId2"/>
  <tableParts count="6">
    <tablePart r:id="rId3"/>
    <tablePart r:id="rId4"/>
    <tablePart r:id="rId5"/>
    <tablePart r:id="rId6"/>
    <tablePart r:id="rId7"/>
    <tablePart r:id="rId8"/>
  </tablePart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election activeCell="I3" sqref="I3"/>
    </sheetView>
  </sheetViews>
  <sheetFormatPr defaultColWidth="10.85546875" defaultRowHeight="12"/>
  <cols>
    <col min="1" max="1" width="10.85546875" style="133"/>
    <col min="2" max="2" width="43.7109375" style="133" bestFit="1" customWidth="1"/>
    <col min="3" max="3" width="22.140625" style="133" bestFit="1" customWidth="1"/>
    <col min="4" max="4" width="26.5703125" style="133" bestFit="1" customWidth="1"/>
    <col min="5" max="5" width="27.5703125" style="133" bestFit="1" customWidth="1"/>
    <col min="6" max="7" width="19.140625" style="133" customWidth="1"/>
    <col min="8" max="8" width="30.85546875" style="143" bestFit="1" customWidth="1"/>
    <col min="9" max="9" width="41.42578125" style="133" bestFit="1" customWidth="1"/>
    <col min="10" max="10" width="28" style="133" bestFit="1" customWidth="1"/>
    <col min="11" max="11" width="31.42578125" style="133" bestFit="1" customWidth="1"/>
    <col min="12" max="12" width="33.7109375" style="133" bestFit="1" customWidth="1"/>
    <col min="13" max="13" width="31.5703125" style="133" bestFit="1" customWidth="1"/>
    <col min="14" max="14" width="23.140625" style="133" bestFit="1" customWidth="1"/>
    <col min="15" max="16384" width="10.85546875" style="133"/>
  </cols>
  <sheetData>
    <row r="1" spans="1:8">
      <c r="A1" s="139" t="s">
        <v>425</v>
      </c>
      <c r="B1" s="133" t="s">
        <v>86</v>
      </c>
      <c r="C1" s="283" t="s">
        <v>675</v>
      </c>
      <c r="D1" s="283" t="s">
        <v>101</v>
      </c>
    </row>
    <row r="2" spans="1:8">
      <c r="B2" s="284" t="s">
        <v>103</v>
      </c>
      <c r="C2" s="285">
        <f>HLOOKUP(Calc_results_table1[[#Headers],[NGIPS]],Inputs_table1[#All],2,FALSE)</f>
        <v>20</v>
      </c>
      <c r="D2" s="285">
        <f>HLOOKUP(Calc_results_table1[[#Headers],[Central Management]],Inputs_table1[#All],2,FALSE)</f>
        <v>1</v>
      </c>
    </row>
    <row r="5" spans="1:8">
      <c r="B5" s="286" t="s">
        <v>101</v>
      </c>
    </row>
    <row r="6" spans="1:8">
      <c r="A6" s="139" t="s">
        <v>426</v>
      </c>
      <c r="B6" s="143" t="s">
        <v>93</v>
      </c>
      <c r="C6" s="206" t="s">
        <v>701</v>
      </c>
      <c r="D6" s="206" t="s">
        <v>700</v>
      </c>
      <c r="E6" s="206" t="s">
        <v>698</v>
      </c>
      <c r="F6" s="206" t="s">
        <v>716</v>
      </c>
      <c r="G6" s="206" t="s">
        <v>717</v>
      </c>
      <c r="H6" s="206" t="s">
        <v>699</v>
      </c>
    </row>
    <row r="7" spans="1:8">
      <c r="B7" s="143" t="s">
        <v>67</v>
      </c>
      <c r="C7" s="287">
        <f>HLOOKUP(Calc_results_table2[[#Headers],[Cisco FirePOWER 8350]],Calc_cost_centm_table4[#All],2,FALSE)*$D$2</f>
        <v>12594</v>
      </c>
      <c r="D7" s="287">
        <f>HLOOKUP(Calc_results_table2[[#Headers],[Fortinet FortiGate-1500D]],Calc_cost_centm_table4[#All],2,FALSE)*$D$2</f>
        <v>8529</v>
      </c>
      <c r="E7" s="287">
        <f>HLOOKUP(Calc_results_table2[[#Headers],[HP TippingPoint S7500NX]],Calc_cost_centm_table4[#All],2,FALSE)*$D$2</f>
        <v>12700</v>
      </c>
      <c r="F7" s="287">
        <f>HLOOKUP(Calc_results_table2[[#Headers],[IBM Security Network Protection XGS 5100]],Calc_cost_centm_table4[#All],2,FALSE)*$D$2</f>
        <v>13300</v>
      </c>
      <c r="G7" s="287">
        <f>HLOOKUP(Calc_results_table2[[#Headers],[IBM Security Network Protection XGS 7100]],Calc_cost_centm_table4[#All],2,FALSE)*$D$2</f>
        <v>13300</v>
      </c>
      <c r="H7" s="287">
        <f>HLOOKUP(Calc_results_table2[[#Headers],[Palo Alto Networks PA-5020]],Calc_cost_centm_table4[#All],2,FALSE)*$D$2</f>
        <v>23299.333333333328</v>
      </c>
    </row>
    <row r="8" spans="1:8">
      <c r="B8" s="143" t="s">
        <v>69</v>
      </c>
      <c r="C8" s="287">
        <f>HLOOKUP(Calc_results_table2[[#Headers],[Cisco FirePOWER 8350]],Calc_cost_centm_table4[#All],3,FALSE)*$D$2</f>
        <v>1799</v>
      </c>
      <c r="D8" s="287">
        <f>HLOOKUP(Calc_results_table2[[#Headers],[Fortinet FortiGate-1500D]],Calc_cost_centm_table4[#All],3,FALSE)*$D$2</f>
        <v>1531</v>
      </c>
      <c r="E8" s="287">
        <f>HLOOKUP(Calc_results_table2[[#Headers],[HP TippingPoint S7500NX]],Calc_cost_centm_table4[#All],3,FALSE)*$D$2</f>
        <v>2204</v>
      </c>
      <c r="F8" s="287">
        <f>HLOOKUP(Calc_results_table2[[#Headers],[IBM Security Network Protection XGS 5100]],Calc_cost_centm_table4[#All],3,FALSE)*$D$2</f>
        <v>2660</v>
      </c>
      <c r="G8" s="287">
        <f>HLOOKUP(Calc_results_table2[[#Headers],[IBM Security Network Protection XGS 7100]],Calc_cost_centm_table4[#All],3,FALSE)*$D$2</f>
        <v>2660</v>
      </c>
      <c r="H8" s="287">
        <f>HLOOKUP(Calc_results_table2[[#Headers],[Palo Alto Networks PA-5020]],Calc_cost_centm_table4[#All],3,FALSE)*$D$2</f>
        <v>3299.3333333333298</v>
      </c>
    </row>
    <row r="9" spans="1:8">
      <c r="B9" s="143" t="s">
        <v>71</v>
      </c>
      <c r="C9" s="287">
        <f>HLOOKUP(Calc_results_table2[[#Headers],[Cisco FirePOWER 8350]],Calc_cost_centm_table4[#All],4,FALSE)*$D$2</f>
        <v>1799</v>
      </c>
      <c r="D9" s="287">
        <f>HLOOKUP(Calc_results_table2[[#Headers],[Fortinet FortiGate-1500D]],Calc_cost_centm_table4[#All],4,FALSE)*$D$2</f>
        <v>1531</v>
      </c>
      <c r="E9" s="287">
        <f>HLOOKUP(Calc_results_table2[[#Headers],[HP TippingPoint S7500NX]],Calc_cost_centm_table4[#All],4,FALSE)*$D$2</f>
        <v>2204</v>
      </c>
      <c r="F9" s="287">
        <f>HLOOKUP(Calc_results_table2[[#Headers],[IBM Security Network Protection XGS 5100]],Calc_cost_centm_table4[#All],4,FALSE)*$D$2</f>
        <v>2660</v>
      </c>
      <c r="G9" s="287">
        <f>HLOOKUP(Calc_results_table2[[#Headers],[IBM Security Network Protection XGS 7100]],Calc_cost_centm_table4[#All],4,FALSE)*$D$2</f>
        <v>2660</v>
      </c>
      <c r="H9" s="287">
        <f>HLOOKUP(Calc_results_table2[[#Headers],[Palo Alto Networks PA-5020]],Calc_cost_centm_table4[#All],4,FALSE)*$D$2</f>
        <v>3299.3333333333298</v>
      </c>
    </row>
    <row r="12" spans="1:8">
      <c r="B12" s="286" t="s">
        <v>104</v>
      </c>
    </row>
    <row r="13" spans="1:8">
      <c r="A13" s="139" t="s">
        <v>427</v>
      </c>
      <c r="B13" s="288" t="s">
        <v>93</v>
      </c>
      <c r="C13" s="206" t="s">
        <v>701</v>
      </c>
      <c r="D13" s="206" t="s">
        <v>700</v>
      </c>
      <c r="E13" s="206" t="s">
        <v>698</v>
      </c>
      <c r="F13" s="206" t="s">
        <v>716</v>
      </c>
      <c r="G13" s="206" t="s">
        <v>717</v>
      </c>
      <c r="H13" s="206" t="s">
        <v>699</v>
      </c>
    </row>
    <row r="14" spans="1:8">
      <c r="B14" s="143" t="s">
        <v>67</v>
      </c>
      <c r="C14" s="287">
        <f>HLOOKUP(Calc_results_table3[[#Headers],[Cisco FirePOWER 8350]],Calc_cost_per_dev4[#All],2,FALSE)*$C$2</f>
        <v>5247533.3333333321</v>
      </c>
      <c r="D14" s="287">
        <f>HLOOKUP(Calc_results_table3[[#Headers],[Fortinet FortiGate-1500D]],Calc_cost_per_dev4[#All],2,FALSE)*$C$2</f>
        <v>721340</v>
      </c>
      <c r="E14" s="287">
        <f>HLOOKUP(Calc_results_table3[[#Headers],[HP TippingPoint S7500NX]],Calc_cost_per_dev4[#All],2,FALSE)*$C$2</f>
        <v>4867100</v>
      </c>
      <c r="F14" s="287">
        <f>HLOOKUP(Calc_results_table3[[#Headers],[IBM Security Network Protection XGS 5100]],Calc_cost_per_dev4[#All],2,FALSE)*$C$2</f>
        <v>2650000</v>
      </c>
      <c r="G14" s="287">
        <f>HLOOKUP(Calc_results_table3[[#Headers],[IBM Security Network Protection XGS 7100]],Calc_cost_per_dev4[#All],2,FALSE)*$C$2</f>
        <v>6924000</v>
      </c>
      <c r="H14" s="287">
        <f>HLOOKUP(Calc_results_table3[[#Headers],[Palo Alto Networks PA-5020]],Calc_cost_per_dev4[#All],2,FALSE)*$C$2</f>
        <v>1046800</v>
      </c>
    </row>
    <row r="15" spans="1:8">
      <c r="B15" s="143" t="s">
        <v>69</v>
      </c>
      <c r="C15" s="287">
        <f>HLOOKUP(Calc_results_table3[[#Headers],[Cisco FirePOWER 8350]],Calc_cost_per_dev4[#All],3,FALSE)*$C$2</f>
        <v>387733.33333333337</v>
      </c>
      <c r="D15" s="287">
        <f>HLOOKUP(Calc_results_table3[[#Headers],[Fortinet FortiGate-1500D]],Calc_cost_per_dev4[#All],3,FALSE)*$C$2</f>
        <v>209380</v>
      </c>
      <c r="E15" s="287">
        <f>HLOOKUP(Calc_results_table3[[#Headers],[HP TippingPoint S7500NX]],Calc_cost_per_dev4[#All],3,FALSE)*$C$2</f>
        <v>823180</v>
      </c>
      <c r="F15" s="287">
        <f>HLOOKUP(Calc_results_table3[[#Headers],[IBM Security Network Protection XGS 5100]],Calc_cost_per_dev4[#All],3,FALSE)*$C$2</f>
        <v>474840</v>
      </c>
      <c r="G15" s="287">
        <f>HLOOKUP(Calc_results_table3[[#Headers],[IBM Security Network Protection XGS 7100]],Calc_cost_per_dev4[#All],3,FALSE)*$C$2</f>
        <v>1244160</v>
      </c>
      <c r="H15" s="287">
        <f>HLOOKUP(Calc_results_table3[[#Headers],[Palo Alto Networks PA-5020]],Calc_cost_per_dev4[#All],3,FALSE)*$C$2</f>
        <v>204800</v>
      </c>
    </row>
    <row r="16" spans="1:8">
      <c r="B16" s="143" t="s">
        <v>71</v>
      </c>
      <c r="C16" s="287">
        <f>HLOOKUP(Calc_results_table3[[#Headers],[Cisco FirePOWER 8350]],Calc_cost_per_dev4[#All],4,FALSE)*$C$2</f>
        <v>387733.33333333337</v>
      </c>
      <c r="D16" s="287">
        <f>HLOOKUP(Calc_results_table3[[#Headers],[Fortinet FortiGate-1500D]],Calc_cost_per_dev4[#All],4,FALSE)*$C$2</f>
        <v>209380</v>
      </c>
      <c r="E16" s="287">
        <f>HLOOKUP(Calc_results_table3[[#Headers],[HP TippingPoint S7500NX]],Calc_cost_per_dev4[#All],4,FALSE)*$C$2</f>
        <v>823180</v>
      </c>
      <c r="F16" s="287">
        <f>HLOOKUP(Calc_results_table3[[#Headers],[IBM Security Network Protection XGS 5100]],Calc_cost_per_dev4[#All],4,FALSE)*$C$2</f>
        <v>474840</v>
      </c>
      <c r="G16" s="287">
        <f>HLOOKUP(Calc_results_table3[[#Headers],[IBM Security Network Protection XGS 7100]],Calc_cost_per_dev4[#All],4,FALSE)*$C$2</f>
        <v>1244160</v>
      </c>
      <c r="H16" s="287">
        <f>HLOOKUP(Calc_results_table3[[#Headers],[Palo Alto Networks PA-5020]],Calc_cost_per_dev4[#All],4,FALSE)*$C$2</f>
        <v>204800</v>
      </c>
    </row>
    <row r="19" spans="1:8">
      <c r="B19" s="286" t="s">
        <v>114</v>
      </c>
    </row>
    <row r="20" spans="1:8">
      <c r="A20" s="139" t="s">
        <v>428</v>
      </c>
      <c r="B20" s="288" t="s">
        <v>105</v>
      </c>
      <c r="C20" s="206" t="s">
        <v>701</v>
      </c>
      <c r="D20" s="206" t="s">
        <v>700</v>
      </c>
      <c r="E20" s="206" t="s">
        <v>698</v>
      </c>
      <c r="F20" s="206" t="s">
        <v>716</v>
      </c>
      <c r="G20" s="206" t="s">
        <v>717</v>
      </c>
      <c r="H20" s="206" t="s">
        <v>699</v>
      </c>
    </row>
    <row r="21" spans="1:8">
      <c r="B21" s="143" t="s">
        <v>67</v>
      </c>
      <c r="C21" s="287">
        <f>HLOOKUP(Calc_results_table4[[#Headers],[Cisco FirePOWER 8350]],Calc_results_table2[#All],2,FALSE)+HLOOKUP(Calc_results_table4[[#Headers],[Cisco FirePOWER 8350]],Calc_results_table3[#All],2,FALSE)</f>
        <v>5260127.3333333321</v>
      </c>
      <c r="D21" s="287">
        <f>HLOOKUP(Calc_results_table4[[#Headers],[Fortinet FortiGate-1500D]],Calc_results_table2[#All],2,FALSE)+HLOOKUP(Calc_results_table4[[#Headers],[Fortinet FortiGate-1500D]],Calc_results_table3[#All],2,FALSE)</f>
        <v>729869</v>
      </c>
      <c r="E21" s="287">
        <f>HLOOKUP(Calc_results_table4[[#Headers],[HP TippingPoint S7500NX]],Calc_results_table2[#All],2,FALSE)+HLOOKUP(Calc_results_table4[[#Headers],[HP TippingPoint S7500NX]],Calc_results_table3[#All],2,FALSE)</f>
        <v>4879800</v>
      </c>
      <c r="F21" s="287">
        <f>HLOOKUP(Calc_results_table4[[#Headers],[IBM Security Network Protection XGS 5100]],Calc_results_table2[#All],2,FALSE)+HLOOKUP(Calc_results_table4[[#Headers],[IBM Security Network Protection XGS 5100]],Calc_results_table3[#All],2,FALSE)</f>
        <v>2663300</v>
      </c>
      <c r="G21" s="287">
        <f>HLOOKUP(Calc_results_table4[[#Headers],[IBM Security Network Protection XGS 7100]],Calc_results_table2[#All],2,FALSE)+HLOOKUP(Calc_results_table4[[#Headers],[IBM Security Network Protection XGS 7100]],Calc_results_table3[#All],2,FALSE)</f>
        <v>6937300</v>
      </c>
      <c r="H21" s="287">
        <f>HLOOKUP(Calc_results_table4[[#Headers],[Palo Alto Networks PA-5020]],Calc_results_table2[#All],2,FALSE)+HLOOKUP(Calc_results_table4[[#Headers],[Palo Alto Networks PA-5020]],Calc_results_table3[#All],2,FALSE)</f>
        <v>1070099.3333333333</v>
      </c>
    </row>
    <row r="22" spans="1:8">
      <c r="B22" s="143" t="s">
        <v>69</v>
      </c>
      <c r="C22" s="287">
        <f>HLOOKUP(Calc_results_table4[[#Headers],[Cisco FirePOWER 8350]],Calc_results_table2[#All],3,FALSE)+HLOOKUP(Calc_results_table4[[#Headers],[Cisco FirePOWER 8350]],Calc_results_table3[#All],3,FALSE)</f>
        <v>389532.33333333337</v>
      </c>
      <c r="D22" s="287">
        <f>HLOOKUP(Calc_results_table4[[#Headers],[Fortinet FortiGate-1500D]],Calc_results_table2[#All],3,FALSE)+HLOOKUP(Calc_results_table4[[#Headers],[Fortinet FortiGate-1500D]],Calc_results_table3[#All],3,FALSE)</f>
        <v>210911</v>
      </c>
      <c r="E22" s="287">
        <f>HLOOKUP(Calc_results_table4[[#Headers],[HP TippingPoint S7500NX]],Calc_results_table2[#All],3,FALSE)+HLOOKUP(Calc_results_table4[[#Headers],[HP TippingPoint S7500NX]],Calc_results_table3[#All],3,FALSE)</f>
        <v>825384</v>
      </c>
      <c r="F22" s="287">
        <f>HLOOKUP(Calc_results_table4[[#Headers],[IBM Security Network Protection XGS 5100]],Calc_results_table2[#All],3,FALSE)+HLOOKUP(Calc_results_table4[[#Headers],[IBM Security Network Protection XGS 5100]],Calc_results_table3[#All],3,FALSE)</f>
        <v>477500</v>
      </c>
      <c r="G22" s="287">
        <f>HLOOKUP(Calc_results_table4[[#Headers],[IBM Security Network Protection XGS 7100]],Calc_results_table2[#All],3,FALSE)+HLOOKUP(Calc_results_table4[[#Headers],[IBM Security Network Protection XGS 7100]],Calc_results_table3[#All],3,FALSE)</f>
        <v>1246820</v>
      </c>
      <c r="H22" s="287">
        <f>HLOOKUP(Calc_results_table4[[#Headers],[Palo Alto Networks PA-5020]],Calc_results_table2[#All],3,FALSE)+HLOOKUP(Calc_results_table4[[#Headers],[Palo Alto Networks PA-5020]],Calc_results_table3[#All],3,FALSE)</f>
        <v>208099.33333333334</v>
      </c>
    </row>
    <row r="23" spans="1:8">
      <c r="B23" s="143" t="s">
        <v>71</v>
      </c>
      <c r="C23" s="287">
        <f>HLOOKUP(Calc_results_table4[[#Headers],[Cisco FirePOWER 8350]],Calc_results_table2[#All],4,FALSE)+HLOOKUP(Calc_results_table4[[#Headers],[Cisco FirePOWER 8350]],Calc_results_table3[#All],4,FALSE)</f>
        <v>389532.33333333337</v>
      </c>
      <c r="D23" s="287">
        <f>HLOOKUP(Calc_results_table4[[#Headers],[Fortinet FortiGate-1500D]],Calc_results_table2[#All],4,FALSE)+HLOOKUP(Calc_results_table4[[#Headers],[Fortinet FortiGate-1500D]],Calc_results_table3[#All],4,FALSE)</f>
        <v>210911</v>
      </c>
      <c r="E23" s="287">
        <f>HLOOKUP(Calc_results_table4[[#Headers],[HP TippingPoint S7500NX]],Calc_results_table2[#All],4,FALSE)+HLOOKUP(Calc_results_table4[[#Headers],[HP TippingPoint S7500NX]],Calc_results_table3[#All],4,FALSE)</f>
        <v>825384</v>
      </c>
      <c r="F23" s="287">
        <f>HLOOKUP(Calc_results_table4[[#Headers],[IBM Security Network Protection XGS 5100]],Calc_results_table2[#All],4,FALSE)+HLOOKUP(Calc_results_table4[[#Headers],[IBM Security Network Protection XGS 5100]],Calc_results_table3[#All],4,FALSE)</f>
        <v>477500</v>
      </c>
      <c r="G23" s="287">
        <f>HLOOKUP(Calc_results_table4[[#Headers],[IBM Security Network Protection XGS 7100]],Calc_results_table2[#All],4,FALSE)+HLOOKUP(Calc_results_table4[[#Headers],[IBM Security Network Protection XGS 7100]],Calc_results_table3[#All],4,FALSE)</f>
        <v>1246820</v>
      </c>
      <c r="H23" s="287">
        <f>HLOOKUP(Calc_results_table4[[#Headers],[Palo Alto Networks PA-5020]],Calc_results_table2[#All],4,FALSE)+HLOOKUP(Calc_results_table4[[#Headers],[Palo Alto Networks PA-5020]],Calc_results_table3[#All],4,FALSE)</f>
        <v>208099.33333333334</v>
      </c>
    </row>
    <row r="26" spans="1:8">
      <c r="A26" s="139" t="s">
        <v>429</v>
      </c>
      <c r="B26" s="286" t="s">
        <v>113</v>
      </c>
    </row>
    <row r="27" spans="1:8">
      <c r="B27" s="288" t="s">
        <v>95</v>
      </c>
      <c r="C27" s="206" t="s">
        <v>701</v>
      </c>
      <c r="D27" s="206" t="s">
        <v>700</v>
      </c>
      <c r="E27" s="206" t="s">
        <v>698</v>
      </c>
      <c r="F27" s="206" t="s">
        <v>716</v>
      </c>
      <c r="G27" s="206" t="s">
        <v>717</v>
      </c>
      <c r="H27" s="206" t="s">
        <v>699</v>
      </c>
    </row>
    <row r="28" spans="1:8">
      <c r="B28" s="143" t="s">
        <v>76</v>
      </c>
      <c r="C28" s="287">
        <f>HLOOKUP(Calc_results_table5[[#Headers],[Cisco FirePOWER 8350]],Calc_results_table4[#All],2,FALSE)</f>
        <v>5260127.3333333321</v>
      </c>
      <c r="D28" s="287">
        <f>HLOOKUP(Calc_results_table5[[#Headers],[Fortinet FortiGate-1500D]],Calc_results_table4[#All],2,FALSE)</f>
        <v>729869</v>
      </c>
      <c r="E28" s="287">
        <f>HLOOKUP(Calc_results_table5[[#Headers],[HP TippingPoint S7500NX]],Calc_results_table4[#All],2,FALSE)</f>
        <v>4879800</v>
      </c>
      <c r="F28" s="287">
        <f>HLOOKUP(Calc_results_table5[[#Headers],[IBM Security Network Protection XGS 5100]],Calc_results_table4[#All],2,FALSE)</f>
        <v>2663300</v>
      </c>
      <c r="G28" s="287">
        <f>HLOOKUP(Calc_results_table5[[#Headers],[IBM Security Network Protection XGS 7100]],Calc_results_table4[#All],2,FALSE)</f>
        <v>6937300</v>
      </c>
      <c r="H28" s="287">
        <f>HLOOKUP(Calc_results_table5[[#Headers],[Palo Alto Networks PA-5020]],Calc_results_table4[#All],2,FALSE)</f>
        <v>1070099.3333333333</v>
      </c>
    </row>
    <row r="29" spans="1:8">
      <c r="B29" s="143" t="s">
        <v>77</v>
      </c>
      <c r="C29" s="287">
        <f>HLOOKUP(Calc_results_table5[[#Headers],[Cisco FirePOWER 8350]],Calc_results_table4[#All],2,FALSE)+HLOOKUP(Calc_results_table5[[#Headers],[Cisco FirePOWER 8350]],Calc_results_table4[#All],3,FALSE)</f>
        <v>5649659.6666666651</v>
      </c>
      <c r="D29" s="287">
        <f>HLOOKUP(Calc_results_table5[[#Headers],[Fortinet FortiGate-1500D]],Calc_results_table4[#All],2,FALSE)+HLOOKUP(Calc_results_table5[[#Headers],[Fortinet FortiGate-1500D]],Calc_results_table4[#All],3,FALSE)</f>
        <v>940780</v>
      </c>
      <c r="E29" s="287">
        <f>HLOOKUP(Calc_results_table5[[#Headers],[HP TippingPoint S7500NX]],Calc_results_table4[#All],2,FALSE)+HLOOKUP(Calc_results_table5[[#Headers],[HP TippingPoint S7500NX]],Calc_results_table4[#All],3,FALSE)</f>
        <v>5705184</v>
      </c>
      <c r="F29" s="287">
        <f>HLOOKUP(Calc_results_table5[[#Headers],[IBM Security Network Protection XGS 5100]],Calc_results_table4[#All],2,FALSE)+HLOOKUP(Calc_results_table5[[#Headers],[IBM Security Network Protection XGS 5100]],Calc_results_table4[#All],3,FALSE)</f>
        <v>3140800</v>
      </c>
      <c r="G29" s="287">
        <f>HLOOKUP(Calc_results_table5[[#Headers],[IBM Security Network Protection XGS 7100]],Calc_results_table4[#All],2,FALSE)+HLOOKUP(Calc_results_table5[[#Headers],[IBM Security Network Protection XGS 7100]],Calc_results_table4[#All],3,FALSE)</f>
        <v>8184120</v>
      </c>
      <c r="H29" s="287">
        <f>HLOOKUP(Calc_results_table5[[#Headers],[Palo Alto Networks PA-5020]],Calc_results_table4[#All],2,FALSE)+HLOOKUP(Calc_results_table5[[#Headers],[Palo Alto Networks PA-5020]],Calc_results_table4[#All],3,FALSE)</f>
        <v>1278198.6666666665</v>
      </c>
    </row>
    <row r="30" spans="1:8">
      <c r="B30" s="143" t="s">
        <v>75</v>
      </c>
      <c r="C30" s="287">
        <f>HLOOKUP(Calc_results_table5[[#Headers],[Cisco FirePOWER 8350]],Calc_results_table4[#All],2,FALSE)+HLOOKUP(Calc_results_table5[[#Headers],[Cisco FirePOWER 8350]],Calc_results_table4[#All],3,FALSE)+HLOOKUP(Calc_results_table5[[#Headers],[Cisco FirePOWER 8350]],Calc_results_table4[#All],4,FALSE)</f>
        <v>6039191.9999999981</v>
      </c>
      <c r="D30" s="287">
        <f>HLOOKUP(Calc_results_table5[[#Headers],[Fortinet FortiGate-1500D]],Calc_results_table4[#All],2,FALSE)+HLOOKUP(Calc_results_table5[[#Headers],[Fortinet FortiGate-1500D]],Calc_results_table4[#All],3,FALSE)+HLOOKUP(Calc_results_table5[[#Headers],[Fortinet FortiGate-1500D]],Calc_results_table4[#All],4,FALSE)</f>
        <v>1151691</v>
      </c>
      <c r="E30" s="287">
        <f>HLOOKUP(Calc_results_table5[[#Headers],[HP TippingPoint S7500NX]],Calc_results_table4[#All],2,FALSE)+HLOOKUP(Calc_results_table5[[#Headers],[HP TippingPoint S7500NX]],Calc_results_table4[#All],3,FALSE)+HLOOKUP(Calc_results_table5[[#Headers],[HP TippingPoint S7500NX]],Calc_results_table4[#All],4,FALSE)</f>
        <v>6530568</v>
      </c>
      <c r="F30" s="287">
        <f>HLOOKUP(Calc_results_table5[[#Headers],[IBM Security Network Protection XGS 5100]],Calc_results_table4[#All],2,FALSE)+HLOOKUP(Calc_results_table5[[#Headers],[IBM Security Network Protection XGS 5100]],Calc_results_table4[#All],3,FALSE)+HLOOKUP(Calc_results_table5[[#Headers],[IBM Security Network Protection XGS 5100]],Calc_results_table4[#All],4,FALSE)</f>
        <v>3618300</v>
      </c>
      <c r="G30" s="287">
        <f>HLOOKUP(Calc_results_table5[[#Headers],[IBM Security Network Protection XGS 7100]],Calc_results_table4[#All],2,FALSE)+HLOOKUP(Calc_results_table5[[#Headers],[IBM Security Network Protection XGS 7100]],Calc_results_table4[#All],3,FALSE)+HLOOKUP(Calc_results_table5[[#Headers],[IBM Security Network Protection XGS 7100]],Calc_results_table4[#All],4,FALSE)</f>
        <v>9430940</v>
      </c>
      <c r="H30" s="287">
        <f>HLOOKUP(Calc_results_table5[[#Headers],[Palo Alto Networks PA-5020]],Calc_results_table4[#All],2,FALSE)+HLOOKUP(Calc_results_table5[[#Headers],[Palo Alto Networks PA-5020]],Calc_results_table4[#All],3,FALSE)+HLOOKUP(Calc_results_table5[[#Headers],[Palo Alto Networks PA-5020]],Calc_results_table4[#All],4,FALSE)</f>
        <v>1486297.9999999998</v>
      </c>
    </row>
    <row r="35" spans="3:9">
      <c r="H35" s="361"/>
    </row>
    <row r="36" spans="3:9">
      <c r="H36" s="361"/>
    </row>
    <row r="42" spans="3:9">
      <c r="C42" s="289"/>
      <c r="D42" s="289"/>
      <c r="E42" s="289"/>
      <c r="F42" s="289"/>
      <c r="G42" s="289"/>
      <c r="H42" s="223"/>
      <c r="I42" s="289"/>
    </row>
    <row r="43" spans="3:9">
      <c r="C43" s="289"/>
      <c r="D43" s="289"/>
      <c r="E43" s="289"/>
      <c r="F43" s="289"/>
      <c r="G43" s="289"/>
      <c r="H43" s="223"/>
      <c r="I43" s="289"/>
    </row>
    <row r="44" spans="3:9">
      <c r="C44" s="289"/>
      <c r="D44" s="289"/>
      <c r="E44" s="289"/>
      <c r="F44" s="289"/>
      <c r="G44" s="289"/>
      <c r="H44" s="223"/>
      <c r="I44" s="289"/>
    </row>
  </sheetData>
  <sheetProtection algorithmName="SHA-512" hashValue="yB+bNahRUV+dJEgwuqRr1wqQnA8aKzUX6iUTEcIvvAkXfbMw1b9cics03yP44jth66dstkYTVWQQ7QCsS9DUjQ==" saltValue="zq93W6emouRnlE/P5072XQ==" spinCount="100000" sheet="1" objects="1" scenarios="1"/>
  <conditionalFormatting sqref="C2:D2">
    <cfRule type="containsText" dxfId="197" priority="105" operator="containsText" text="FAIL">
      <formula>NOT(ISERROR(SEARCH("FAIL",C2)))</formula>
    </cfRule>
  </conditionalFormatting>
  <conditionalFormatting sqref="C1">
    <cfRule type="containsText" dxfId="196" priority="94" operator="containsText" text="FAIL">
      <formula>NOT(ISERROR(SEARCH("FAIL",C1)))</formula>
    </cfRule>
  </conditionalFormatting>
  <conditionalFormatting sqref="D1">
    <cfRule type="containsText" dxfId="195" priority="93" operator="containsText" text="FAIL">
      <formula>NOT(ISERROR(SEARCH("FAIL",D1)))</formula>
    </cfRule>
  </conditionalFormatting>
  <pageMargins left="0.75" right="0.75" top="1" bottom="1" header="0.5" footer="0.5"/>
  <pageSetup orientation="portrait" horizontalDpi="4294967292" verticalDpi="4294967292"/>
  <ignoredErrors>
    <ignoredError sqref="C21:C23 C28:C30" calculatedColumn="1"/>
  </ignoredErrors>
  <tableParts count="5">
    <tablePart r:id="rId1"/>
    <tablePart r:id="rId2"/>
    <tablePart r:id="rId3"/>
    <tablePart r:id="rId4"/>
    <tablePart r:id="rId5"/>
  </tablePart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election activeCell="C30" sqref="C30:H30"/>
    </sheetView>
  </sheetViews>
  <sheetFormatPr defaultColWidth="10.85546875" defaultRowHeight="12"/>
  <cols>
    <col min="1" max="1" width="10.85546875" style="133"/>
    <col min="2" max="2" width="57.28515625" style="133" bestFit="1" customWidth="1"/>
    <col min="3" max="3" width="21.85546875" style="133" bestFit="1" customWidth="1"/>
    <col min="4" max="4" width="23.7109375" style="133" bestFit="1" customWidth="1"/>
    <col min="5" max="5" width="27.5703125" style="133" bestFit="1" customWidth="1"/>
    <col min="6" max="6" width="18.85546875" style="133" customWidth="1"/>
    <col min="7" max="7" width="20.42578125" style="133" customWidth="1"/>
    <col min="8" max="8" width="30.85546875" style="143" bestFit="1" customWidth="1"/>
    <col min="9" max="9" width="41.42578125" style="133" bestFit="1" customWidth="1"/>
    <col min="10" max="10" width="28" style="133" bestFit="1" customWidth="1"/>
    <col min="11" max="11" width="31.42578125" style="133" bestFit="1" customWidth="1"/>
    <col min="12" max="12" width="33.7109375" style="133" bestFit="1" customWidth="1"/>
    <col min="13" max="13" width="31.5703125" style="133" bestFit="1" customWidth="1"/>
    <col min="14" max="14" width="27.7109375" style="133" bestFit="1" customWidth="1"/>
    <col min="15" max="16384" width="10.85546875" style="133"/>
  </cols>
  <sheetData>
    <row r="1" spans="1:8">
      <c r="B1" s="286" t="s">
        <v>118</v>
      </c>
    </row>
    <row r="2" spans="1:8" ht="15.95" customHeight="1">
      <c r="A2" s="139" t="s">
        <v>425</v>
      </c>
      <c r="B2" s="143" t="s">
        <v>86</v>
      </c>
      <c r="C2" s="206" t="s">
        <v>701</v>
      </c>
      <c r="D2" s="206" t="s">
        <v>700</v>
      </c>
      <c r="E2" s="206" t="s">
        <v>698</v>
      </c>
      <c r="F2" s="206" t="s">
        <v>716</v>
      </c>
      <c r="G2" s="206" t="s">
        <v>717</v>
      </c>
      <c r="H2" s="206" t="s">
        <v>699</v>
      </c>
    </row>
    <row r="3" spans="1:8">
      <c r="B3" s="290" t="s">
        <v>83</v>
      </c>
      <c r="C3" s="287">
        <f>(HLOOKUP(Calc_cost_per_dev_table1[[#Headers],[Cisco FirePOWER 8350]],Inputs_table3[#All],2,FALSE))*HLOOKUP(Calc_cost_per_dev_table1[[#Headers],[Cisco FirePOWER 8350]],Inputs_table2[#All],2,FALSE)</f>
        <v>600</v>
      </c>
      <c r="D3" s="287">
        <f>(HLOOKUP(Calc_cost_per_dev_table1[[#Headers],[Fortinet FortiGate-1500D]],Inputs_table3[#All],2,FALSE))*HLOOKUP(Calc_cost_per_dev_table1[[#Headers],[Fortinet FortiGate-1500D]],Inputs_table2[#All],2,FALSE)</f>
        <v>600</v>
      </c>
      <c r="E3" s="287">
        <f>(HLOOKUP(Calc_cost_per_dev_table1[[#Headers],[HP TippingPoint S7500NX]],Inputs_table3[#All],2,FALSE))*HLOOKUP(Calc_cost_per_dev_table1[[#Headers],[HP TippingPoint S7500NX]],Inputs_table2[#All],2,FALSE)</f>
        <v>600</v>
      </c>
      <c r="F3" s="287">
        <f>(HLOOKUP(Calc_cost_per_dev_table1[[#Headers],[IBM Security Network Protection XGS 5100]],Inputs_table3[#All],2,FALSE))*HLOOKUP(Calc_cost_per_dev_table1[[#Headers],[IBM Security Network Protection XGS 5100]],Inputs_table2[#All],2,FALSE)</f>
        <v>600</v>
      </c>
      <c r="G3" s="287">
        <f>(HLOOKUP(Calc_cost_per_dev_table1[[#Headers],[IBM Security Network Protection XGS 7100]],Inputs_table3[#All],2,FALSE))*HLOOKUP(Calc_cost_per_dev_table1[[#Headers],[IBM Security Network Protection XGS 7100]],Inputs_table2[#All],2,FALSE)</f>
        <v>600</v>
      </c>
      <c r="H3" s="287">
        <f>(HLOOKUP(Calc_cost_per_dev_table1[[#Headers],[Palo Alto Networks PA-5020]],Inputs_table3[#All],2,FALSE))*HLOOKUP(Calc_cost_per_dev_table1[[#Headers],[Palo Alto Networks PA-5020]],Inputs_table2[#All],2,FALSE)</f>
        <v>600</v>
      </c>
    </row>
    <row r="4" spans="1:8">
      <c r="B4" s="290" t="s">
        <v>92</v>
      </c>
      <c r="C4" s="287">
        <f>(HLOOKUP(Calc_cost_per_dev_table1[[#Headers],[Cisco FirePOWER 8350]],Inputs_table3[#All],3,FALSE))*HLOOKUP(Calc_cost_per_dev_table1[[#Headers],[Cisco FirePOWER 8350]],Inputs_table2[#All],2,FALSE)</f>
        <v>0</v>
      </c>
      <c r="D4" s="287">
        <f>(HLOOKUP(Calc_cost_per_dev_table1[[#Headers],[Fortinet FortiGate-1500D]],Inputs_table3[#All],3,FALSE))*HLOOKUP(Calc_cost_per_dev_table1[[#Headers],[Fortinet FortiGate-1500D]],Inputs_table2[#All],2,FALSE)</f>
        <v>0</v>
      </c>
      <c r="E4" s="287">
        <f>(HLOOKUP(Calc_cost_per_dev_table1[[#Headers],[HP TippingPoint S7500NX]],Inputs_table3[#All],3,FALSE))*HLOOKUP(Calc_cost_per_dev_table1[[#Headers],[HP TippingPoint S7500NX]],Inputs_table2[#All],2,FALSE)</f>
        <v>0</v>
      </c>
      <c r="F4" s="287">
        <f>(HLOOKUP(Calc_cost_per_dev_table1[[#Headers],[IBM Security Network Protection XGS 5100]],Inputs_table3[#All],3,FALSE))*HLOOKUP(Calc_cost_per_dev_table1[[#Headers],[IBM Security Network Protection XGS 5100]],Inputs_table2[#All],2,FALSE)</f>
        <v>0</v>
      </c>
      <c r="G4" s="287">
        <f>(HLOOKUP(Calc_cost_per_dev_table1[[#Headers],[IBM Security Network Protection XGS 7100]],Inputs_table3[#All],3,FALSE))*HLOOKUP(Calc_cost_per_dev_table1[[#Headers],[IBM Security Network Protection XGS 7100]],Inputs_table2[#All],2,FALSE)</f>
        <v>0</v>
      </c>
      <c r="H4" s="287">
        <f>(HLOOKUP(Calc_cost_per_dev_table1[[#Headers],[Palo Alto Networks PA-5020]],Inputs_table3[#All],3,FALSE))*HLOOKUP(Calc_cost_per_dev_table1[[#Headers],[Palo Alto Networks PA-5020]],Inputs_table2[#All],2,FALSE)</f>
        <v>0</v>
      </c>
    </row>
    <row r="5" spans="1:8">
      <c r="B5" s="291" t="s">
        <v>151</v>
      </c>
      <c r="C5" s="287">
        <f>(HLOOKUP(Calc_cost_per_dev_table1[[#Headers],[Cisco FirePOWER 8350]],Inputs_table3[#All],4,FALSE))*HLOOKUP(Calc_cost_per_dev_table1[[#Headers],[Cisco FirePOWER 8350]],Inputs_table2[#All],2,FALSE)</f>
        <v>0</v>
      </c>
      <c r="D5" s="287">
        <f>(HLOOKUP(Calc_cost_per_dev_table1[[#Headers],[Fortinet FortiGate-1500D]],Inputs_table3[#All],4,FALSE))*HLOOKUP(Calc_cost_per_dev_table1[[#Headers],[Fortinet FortiGate-1500D]],Inputs_table2[#All],2,FALSE)</f>
        <v>0</v>
      </c>
      <c r="E5" s="287">
        <f>(HLOOKUP(Calc_cost_per_dev_table1[[#Headers],[HP TippingPoint S7500NX]],Inputs_table3[#All],4,FALSE))*HLOOKUP(Calc_cost_per_dev_table1[[#Headers],[HP TippingPoint S7500NX]],Inputs_table2[#All],2,FALSE)</f>
        <v>0</v>
      </c>
      <c r="F5" s="287">
        <f>(HLOOKUP(Calc_cost_per_dev_table1[[#Headers],[IBM Security Network Protection XGS 5100]],Inputs_table3[#All],4,FALSE))*HLOOKUP(Calc_cost_per_dev_table1[[#Headers],[IBM Security Network Protection XGS 5100]],Inputs_table2[#All],2,FALSE)</f>
        <v>0</v>
      </c>
      <c r="G5" s="287">
        <f>(HLOOKUP(Calc_cost_per_dev_table1[[#Headers],[IBM Security Network Protection XGS 7100]],Inputs_table3[#All],4,FALSE))*HLOOKUP(Calc_cost_per_dev_table1[[#Headers],[IBM Security Network Protection XGS 7100]],Inputs_table2[#All],2,FALSE)</f>
        <v>0</v>
      </c>
      <c r="H5" s="287">
        <f>(HLOOKUP(Calc_cost_per_dev_table1[[#Headers],[Palo Alto Networks PA-5020]],Inputs_table3[#All],4,FALSE))*HLOOKUP(Calc_cost_per_dev_table1[[#Headers],[Palo Alto Networks PA-5020]],Inputs_table2[#All],2,FALSE)</f>
        <v>0</v>
      </c>
    </row>
    <row r="8" spans="1:8">
      <c r="B8" s="286" t="s">
        <v>116</v>
      </c>
    </row>
    <row r="9" spans="1:8" ht="18.95" customHeight="1">
      <c r="A9" s="139" t="s">
        <v>426</v>
      </c>
      <c r="B9" s="288" t="s">
        <v>93</v>
      </c>
      <c r="C9" s="206" t="s">
        <v>701</v>
      </c>
      <c r="D9" s="206" t="s">
        <v>700</v>
      </c>
      <c r="E9" s="206" t="s">
        <v>698</v>
      </c>
      <c r="F9" s="206" t="s">
        <v>716</v>
      </c>
      <c r="G9" s="206" t="s">
        <v>717</v>
      </c>
      <c r="H9" s="206" t="s">
        <v>699</v>
      </c>
    </row>
    <row r="10" spans="1:8">
      <c r="B10" s="143" t="s">
        <v>67</v>
      </c>
      <c r="C10" s="287">
        <f>HLOOKUP(Calc_cost_per_dev2[[#Headers],[Cisco FirePOWER 8350]],Calc_cost_per_dev_table1[#All],2,FALSE)+HLOOKUP(Calc_cost_per_dev2[[#Headers],[Cisco FirePOWER 8350]],Calc_cost_per_dev_table1[#All],3,FALSE)+HLOOKUP(Calc_cost_per_dev2[[#Headers],[Cisco FirePOWER 8350]],Calc_cost_per_dev_table1[#All],4,FALSE)</f>
        <v>600</v>
      </c>
      <c r="D10" s="287">
        <f>HLOOKUP(Calc_cost_per_dev2[[#Headers],[Fortinet FortiGate-1500D]],Calc_cost_per_dev_table1[#All],2,FALSE)+HLOOKUP(Calc_cost_per_dev2[[#Headers],[Fortinet FortiGate-1500D]],Calc_cost_per_dev_table1[#All],3,FALSE)+HLOOKUP(Calc_cost_per_dev2[[#Headers],[Fortinet FortiGate-1500D]],Calc_cost_per_dev_table1[#All],4,FALSE)</f>
        <v>600</v>
      </c>
      <c r="E10" s="287">
        <f>HLOOKUP(Calc_cost_per_dev2[[#Headers],[HP TippingPoint S7500NX]],Calc_cost_per_dev_table1[#All],2,FALSE)+HLOOKUP(Calc_cost_per_dev2[[#Headers],[HP TippingPoint S7500NX]],Calc_cost_per_dev_table1[#All],3,FALSE)+HLOOKUP(Calc_cost_per_dev2[[#Headers],[HP TippingPoint S7500NX]],Calc_cost_per_dev_table1[#All],4,FALSE)</f>
        <v>600</v>
      </c>
      <c r="F10" s="287">
        <f>HLOOKUP(Calc_cost_per_dev2[[#Headers],[IBM Security Network Protection XGS 5100]],Calc_cost_per_dev_table1[#All],2,FALSE)+HLOOKUP(Calc_cost_per_dev2[[#Headers],[IBM Security Network Protection XGS 5100]],Calc_cost_per_dev_table1[#All],3,FALSE)+HLOOKUP(Calc_cost_per_dev2[[#Headers],[IBM Security Network Protection XGS 5100]],Calc_cost_per_dev_table1[#All],4,FALSE)</f>
        <v>600</v>
      </c>
      <c r="G10" s="287">
        <f>HLOOKUP(Calc_cost_per_dev2[[#Headers],[IBM Security Network Protection XGS 7100]],Calc_cost_per_dev_table1[#All],2,FALSE)+HLOOKUP(Calc_cost_per_dev2[[#Headers],[IBM Security Network Protection XGS 7100]],Calc_cost_per_dev_table1[#All],3,FALSE)+HLOOKUP(Calc_cost_per_dev2[[#Headers],[IBM Security Network Protection XGS 7100]],Calc_cost_per_dev_table1[#All],4,FALSE)</f>
        <v>600</v>
      </c>
      <c r="H10" s="287">
        <f>HLOOKUP(Calc_cost_per_dev2[[#Headers],[Palo Alto Networks PA-5020]],Calc_cost_per_dev_table1[#All],2,FALSE)+HLOOKUP(Calc_cost_per_dev2[[#Headers],[Palo Alto Networks PA-5020]],Calc_cost_per_dev_table1[#All],3,FALSE)+HLOOKUP(Calc_cost_per_dev2[[#Headers],[Palo Alto Networks PA-5020]],Calc_cost_per_dev_table1[#All],4,FALSE)</f>
        <v>600</v>
      </c>
    </row>
    <row r="11" spans="1:8">
      <c r="B11" s="143" t="s">
        <v>69</v>
      </c>
      <c r="C11" s="287">
        <f>HLOOKUP(Calc_cost_per_dev2[[#Headers],[Cisco FirePOWER 8350]],Calc_cost_per_dev_table1[#All],3,FALSE)+HLOOKUP(Calc_cost_per_dev2[[#Headers],[Cisco FirePOWER 8350]],Calc_cost_per_dev_table1[#All],4,FALSE)</f>
        <v>0</v>
      </c>
      <c r="D11" s="287">
        <f>HLOOKUP(Calc_cost_per_dev2[[#Headers],[Fortinet FortiGate-1500D]],Calc_cost_per_dev_table1[#All],3,FALSE)+HLOOKUP(Calc_cost_per_dev2[[#Headers],[Fortinet FortiGate-1500D]],Calc_cost_per_dev_table1[#All],4,FALSE)</f>
        <v>0</v>
      </c>
      <c r="E11" s="287">
        <f>HLOOKUP(Calc_cost_per_dev2[[#Headers],[HP TippingPoint S7500NX]],Calc_cost_per_dev_table1[#All],3,FALSE)+HLOOKUP(Calc_cost_per_dev2[[#Headers],[HP TippingPoint S7500NX]],Calc_cost_per_dev_table1[#All],4,FALSE)</f>
        <v>0</v>
      </c>
      <c r="F11" s="287">
        <f>HLOOKUP(Calc_cost_per_dev2[[#Headers],[IBM Security Network Protection XGS 5100]],Calc_cost_per_dev_table1[#All],3,FALSE)+HLOOKUP(Calc_cost_per_dev2[[#Headers],[IBM Security Network Protection XGS 5100]],Calc_cost_per_dev_table1[#All],4,FALSE)</f>
        <v>0</v>
      </c>
      <c r="G11" s="287">
        <f>HLOOKUP(Calc_cost_per_dev2[[#Headers],[IBM Security Network Protection XGS 7100]],Calc_cost_per_dev_table1[#All],3,FALSE)+HLOOKUP(Calc_cost_per_dev2[[#Headers],[IBM Security Network Protection XGS 7100]],Calc_cost_per_dev_table1[#All],4,FALSE)</f>
        <v>0</v>
      </c>
      <c r="H11" s="287">
        <f>HLOOKUP(Calc_cost_per_dev2[[#Headers],[Palo Alto Networks PA-5020]],Calc_cost_per_dev_table1[#All],3,FALSE)+HLOOKUP(Calc_cost_per_dev2[[#Headers],[Palo Alto Networks PA-5020]],Calc_cost_per_dev_table1[#All],4,FALSE)</f>
        <v>0</v>
      </c>
    </row>
    <row r="12" spans="1:8">
      <c r="B12" s="143" t="s">
        <v>71</v>
      </c>
      <c r="C12" s="287">
        <f>HLOOKUP(Calc_cost_per_dev2[[#Headers],[Cisco FirePOWER 8350]],Calc_cost_per_dev_table1[#All],3,FALSE)+HLOOKUP(Calc_cost_per_dev2[[#Headers],[Cisco FirePOWER 8350]],Calc_cost_per_dev_table1[#All],4,FALSE)</f>
        <v>0</v>
      </c>
      <c r="D12" s="287">
        <f>HLOOKUP(Calc_cost_per_dev2[[#Headers],[Fortinet FortiGate-1500D]],Calc_cost_per_dev_table1[#All],3,FALSE)+HLOOKUP(Calc_cost_per_dev2[[#Headers],[Fortinet FortiGate-1500D]],Calc_cost_per_dev_table1[#All],4,FALSE)</f>
        <v>0</v>
      </c>
      <c r="E12" s="287">
        <f>HLOOKUP(Calc_cost_per_dev2[[#Headers],[HP TippingPoint S7500NX]],Calc_cost_per_dev_table1[#All],3,FALSE)+HLOOKUP(Calc_cost_per_dev2[[#Headers],[HP TippingPoint S7500NX]],Calc_cost_per_dev_table1[#All],4,FALSE)</f>
        <v>0</v>
      </c>
      <c r="F12" s="287">
        <f>HLOOKUP(Calc_cost_per_dev2[[#Headers],[IBM Security Network Protection XGS 5100]],Calc_cost_per_dev_table1[#All],3,FALSE)+HLOOKUP(Calc_cost_per_dev2[[#Headers],[IBM Security Network Protection XGS 5100]],Calc_cost_per_dev_table1[#All],4,FALSE)</f>
        <v>0</v>
      </c>
      <c r="G12" s="287">
        <f>HLOOKUP(Calc_cost_per_dev2[[#Headers],[IBM Security Network Protection XGS 7100]],Calc_cost_per_dev_table1[#All],3,FALSE)+HLOOKUP(Calc_cost_per_dev2[[#Headers],[IBM Security Network Protection XGS 7100]],Calc_cost_per_dev_table1[#All],4,FALSE)</f>
        <v>0</v>
      </c>
      <c r="H12" s="287">
        <f>HLOOKUP(Calc_cost_per_dev2[[#Headers],[Palo Alto Networks PA-5020]],Calc_cost_per_dev_table1[#All],3,FALSE)+HLOOKUP(Calc_cost_per_dev2[[#Headers],[Palo Alto Networks PA-5020]],Calc_cost_per_dev_table1[#All],4,FALSE)</f>
        <v>0</v>
      </c>
    </row>
    <row r="15" spans="1:8">
      <c r="B15" s="286" t="s">
        <v>115</v>
      </c>
    </row>
    <row r="16" spans="1:8" ht="15.95" customHeight="1">
      <c r="A16" s="139" t="s">
        <v>427</v>
      </c>
      <c r="B16" s="288" t="s">
        <v>93</v>
      </c>
      <c r="C16" s="206" t="s">
        <v>701</v>
      </c>
      <c r="D16" s="206" t="s">
        <v>700</v>
      </c>
      <c r="E16" s="206" t="s">
        <v>698</v>
      </c>
      <c r="F16" s="206" t="s">
        <v>716</v>
      </c>
      <c r="G16" s="206" t="s">
        <v>717</v>
      </c>
      <c r="H16" s="206" t="s">
        <v>699</v>
      </c>
    </row>
    <row r="17" spans="1:8">
      <c r="B17" s="143" t="s">
        <v>67</v>
      </c>
      <c r="C17" s="287">
        <f>HLOOKUP(Calc_cost_per_dev3[[#Headers],[Cisco FirePOWER 8350]],Inputs_table5[#All],2,FALSE)+HLOOKUP(Calc_cost_per_dev3[[#Headers],[Cisco FirePOWER 8350]],Inputs_table5[#All],4,FALSE)+HLOOKUP(Calc_cost_per_dev3[[#Headers],[Cisco FirePOWER 8350]],Inputs_table5[#All],6,FALSE)</f>
        <v>261776.66666666666</v>
      </c>
      <c r="D17" s="287">
        <f>HLOOKUP(Calc_cost_per_dev3[[#Headers],[Fortinet FortiGate-1500D]],Inputs_table5[#All],2,FALSE)+HLOOKUP(Calc_cost_per_dev3[[#Headers],[Fortinet FortiGate-1500D]],Inputs_table5[#All],4,FALSE)+HLOOKUP(Calc_cost_per_dev3[[#Headers],[Fortinet FortiGate-1500D]],Inputs_table5[#All],6,FALSE)</f>
        <v>35467</v>
      </c>
      <c r="E17" s="287">
        <f>HLOOKUP(Calc_cost_per_dev3[[#Headers],[HP TippingPoint S7500NX]],Inputs_table5[#All],2,FALSE)+HLOOKUP(Calc_cost_per_dev3[[#Headers],[HP TippingPoint S7500NX]],Inputs_table5[#All],4,FALSE)+HLOOKUP(Calc_cost_per_dev3[[#Headers],[HP TippingPoint S7500NX]],Inputs_table5[#All],6,FALSE)</f>
        <v>242755</v>
      </c>
      <c r="F17" s="287">
        <f>HLOOKUP(Calc_cost_per_dev3[[#Headers],[IBM Security Network Protection XGS 5100]],Inputs_table5[#All],2,FALSE)+HLOOKUP(Calc_cost_per_dev3[[#Headers],[IBM Security Network Protection XGS 5100]],Inputs_table5[#All],4,FALSE)+HLOOKUP(Calc_cost_per_dev3[[#Headers],[IBM Security Network Protection XGS 5100]],Inputs_table5[#All],6,FALSE)</f>
        <v>131900</v>
      </c>
      <c r="G17" s="287">
        <f>HLOOKUP(Calc_cost_per_dev3[[#Headers],[IBM Security Network Protection XGS 7100]],Inputs_table5[#All],2,FALSE)+HLOOKUP(Calc_cost_per_dev3[[#Headers],[IBM Security Network Protection XGS 7100]],Inputs_table5[#All],4,FALSE)+HLOOKUP(Calc_cost_per_dev3[[#Headers],[IBM Security Network Protection XGS 7100]],Inputs_table5[#All],6,FALSE)</f>
        <v>345600</v>
      </c>
      <c r="H17" s="287">
        <f>HLOOKUP(Calc_cost_per_dev3[[#Headers],[Palo Alto Networks PA-5020]],Inputs_table5[#All],2,FALSE)+HLOOKUP(Calc_cost_per_dev3[[#Headers],[Palo Alto Networks PA-5020]],Inputs_table5[#All],4,FALSE)+HLOOKUP(Calc_cost_per_dev3[[#Headers],[Palo Alto Networks PA-5020]],Inputs_table5[#All],6,FALSE)</f>
        <v>51740</v>
      </c>
    </row>
    <row r="18" spans="1:8">
      <c r="B18" s="143" t="s">
        <v>69</v>
      </c>
      <c r="C18" s="287">
        <f>HLOOKUP(Calc_cost_per_dev3[[#Headers],[Cisco FirePOWER 8350]],Inputs_table5[#All],4,FALSE)+HLOOKUP(Calc_cost_per_dev3[[#Headers],[Cisco FirePOWER 8350]],Inputs_table5[#All],6,FALSE)</f>
        <v>19386.666666666668</v>
      </c>
      <c r="D18" s="287">
        <f>HLOOKUP(Calc_cost_per_dev3[[#Headers],[Fortinet FortiGate-1500D]],Inputs_table5[#All],4,FALSE)+HLOOKUP(Calc_cost_per_dev3[[#Headers],[Fortinet FortiGate-1500D]],Inputs_table5[#All],6,FALSE)</f>
        <v>10469</v>
      </c>
      <c r="E18" s="287">
        <f>HLOOKUP(Calc_cost_per_dev3[[#Headers],[HP TippingPoint S7500NX]],Inputs_table5[#All],4,FALSE)+HLOOKUP(Calc_cost_per_dev3[[#Headers],[HP TippingPoint S7500NX]],Inputs_table5[#All],6,FALSE)</f>
        <v>41159</v>
      </c>
      <c r="F18" s="287">
        <f>HLOOKUP(Calc_cost_per_dev3[[#Headers],[IBM Security Network Protection XGS 5100]],Inputs_table5[#All],4,FALSE)+HLOOKUP(Calc_cost_per_dev3[[#Headers],[IBM Security Network Protection XGS 5100]],Inputs_table5[#All],6,FALSE)</f>
        <v>23742</v>
      </c>
      <c r="G18" s="287">
        <f>HLOOKUP(Calc_cost_per_dev3[[#Headers],[IBM Security Network Protection XGS 7100]],Inputs_table5[#All],4,FALSE)+HLOOKUP(Calc_cost_per_dev3[[#Headers],[IBM Security Network Protection XGS 7100]],Inputs_table5[#All],6,FALSE)</f>
        <v>62208</v>
      </c>
      <c r="H18" s="287">
        <f>HLOOKUP(Calc_cost_per_dev3[[#Headers],[Palo Alto Networks PA-5020]],Inputs_table5[#All],4,FALSE)+HLOOKUP(Calc_cost_per_dev3[[#Headers],[Palo Alto Networks PA-5020]],Inputs_table5[#All],6,FALSE)</f>
        <v>10240</v>
      </c>
    </row>
    <row r="19" spans="1:8">
      <c r="B19" s="143" t="s">
        <v>71</v>
      </c>
      <c r="C19" s="287">
        <f>HLOOKUP(Calc_cost_per_dev3[[#Headers],[Cisco FirePOWER 8350]],Inputs_table5[#All],4,FALSE)+HLOOKUP(Calc_cost_per_dev3[[#Headers],[Cisco FirePOWER 8350]],Inputs_table5[#All],6,FALSE)</f>
        <v>19386.666666666668</v>
      </c>
      <c r="D19" s="287">
        <f>HLOOKUP(Calc_cost_per_dev3[[#Headers],[Fortinet FortiGate-1500D]],Inputs_table5[#All],4,FALSE)+HLOOKUP(Calc_cost_per_dev3[[#Headers],[Fortinet FortiGate-1500D]],Inputs_table5[#All],6,FALSE)</f>
        <v>10469</v>
      </c>
      <c r="E19" s="287">
        <f>HLOOKUP(Calc_cost_per_dev3[[#Headers],[HP TippingPoint S7500NX]],Inputs_table5[#All],4,FALSE)+HLOOKUP(Calc_cost_per_dev3[[#Headers],[HP TippingPoint S7500NX]],Inputs_table5[#All],6,FALSE)</f>
        <v>41159</v>
      </c>
      <c r="F19" s="287">
        <f>HLOOKUP(Calc_cost_per_dev3[[#Headers],[IBM Security Network Protection XGS 5100]],Inputs_table5[#All],4,FALSE)+HLOOKUP(Calc_cost_per_dev3[[#Headers],[IBM Security Network Protection XGS 5100]],Inputs_table5[#All],6,FALSE)</f>
        <v>23742</v>
      </c>
      <c r="G19" s="287">
        <f>HLOOKUP(Calc_cost_per_dev3[[#Headers],[IBM Security Network Protection XGS 7100]],Inputs_table5[#All],4,FALSE)+HLOOKUP(Calc_cost_per_dev3[[#Headers],[IBM Security Network Protection XGS 7100]],Inputs_table5[#All],6,FALSE)</f>
        <v>62208</v>
      </c>
      <c r="H19" s="287">
        <f>HLOOKUP(Calc_cost_per_dev3[[#Headers],[Palo Alto Networks PA-5020]],Inputs_table5[#All],4,FALSE)+HLOOKUP(Calc_cost_per_dev3[[#Headers],[Palo Alto Networks PA-5020]],Inputs_table5[#All],6,FALSE)</f>
        <v>10240</v>
      </c>
    </row>
    <row r="22" spans="1:8">
      <c r="B22" s="286" t="s">
        <v>117</v>
      </c>
    </row>
    <row r="23" spans="1:8" ht="18" customHeight="1">
      <c r="A23" s="139" t="s">
        <v>428</v>
      </c>
      <c r="B23" s="288" t="s">
        <v>93</v>
      </c>
      <c r="C23" s="206" t="s">
        <v>701</v>
      </c>
      <c r="D23" s="206" t="s">
        <v>700</v>
      </c>
      <c r="E23" s="206" t="s">
        <v>698</v>
      </c>
      <c r="F23" s="206" t="s">
        <v>716</v>
      </c>
      <c r="G23" s="206" t="s">
        <v>717</v>
      </c>
      <c r="H23" s="206" t="s">
        <v>699</v>
      </c>
    </row>
    <row r="24" spans="1:8">
      <c r="B24" s="143" t="s">
        <v>67</v>
      </c>
      <c r="C24" s="287">
        <f>HLOOKUP(Calc_cost_per_dev4[[#Headers],[Cisco FirePOWER 8350]],Calc_cost_per_dev3[#All],2,FALSE)+HLOOKUP(Calc_cost_per_dev4[[#Headers],[Cisco FirePOWER 8350]],Calc_cost_per_dev2[#All],2,FALSE)</f>
        <v>262376.66666666663</v>
      </c>
      <c r="D24" s="287">
        <f>HLOOKUP(Calc_cost_per_dev4[[#Headers],[Fortinet FortiGate-1500D]],Calc_cost_per_dev3[#All],2,FALSE)+HLOOKUP(Calc_cost_per_dev4[[#Headers],[Fortinet FortiGate-1500D]],Calc_cost_per_dev2[#All],2,FALSE)</f>
        <v>36067</v>
      </c>
      <c r="E24" s="287">
        <f>HLOOKUP(Calc_cost_per_dev4[[#Headers],[HP TippingPoint S7500NX]],Calc_cost_per_dev3[#All],2,FALSE)+HLOOKUP(Calc_cost_per_dev4[[#Headers],[HP TippingPoint S7500NX]],Calc_cost_per_dev2[#All],2,FALSE)</f>
        <v>243355</v>
      </c>
      <c r="F24" s="287">
        <f>HLOOKUP(Calc_cost_per_dev4[[#Headers],[IBM Security Network Protection XGS 5100]],Calc_cost_per_dev3[#All],2,FALSE)+HLOOKUP(Calc_cost_per_dev4[[#Headers],[IBM Security Network Protection XGS 5100]],Calc_cost_per_dev2[#All],2,FALSE)</f>
        <v>132500</v>
      </c>
      <c r="G24" s="287">
        <f>HLOOKUP(Calc_cost_per_dev4[[#Headers],[IBM Security Network Protection XGS 7100]],Calc_cost_per_dev3[#All],2,FALSE)+HLOOKUP(Calc_cost_per_dev4[[#Headers],[IBM Security Network Protection XGS 7100]],Calc_cost_per_dev2[#All],2,FALSE)</f>
        <v>346200</v>
      </c>
      <c r="H24" s="287">
        <f>HLOOKUP(Calc_cost_per_dev4[[#Headers],[Palo Alto Networks PA-5020]],Calc_cost_per_dev3[#All],2,FALSE)+HLOOKUP(Calc_cost_per_dev4[[#Headers],[Palo Alto Networks PA-5020]],Calc_cost_per_dev2[#All],2,FALSE)</f>
        <v>52340</v>
      </c>
    </row>
    <row r="25" spans="1:8">
      <c r="B25" s="143" t="s">
        <v>69</v>
      </c>
      <c r="C25" s="287">
        <f>HLOOKUP(Calc_cost_per_dev4[[#Headers],[Cisco FirePOWER 8350]],Calc_cost_per_dev3[#All],3,FALSE)+HLOOKUP(Calc_cost_per_dev4[[#Headers],[Cisco FirePOWER 8350]],Calc_cost_per_dev2[#All],3,FALSE)</f>
        <v>19386.666666666668</v>
      </c>
      <c r="D25" s="287">
        <f>HLOOKUP(Calc_cost_per_dev4[[#Headers],[Fortinet FortiGate-1500D]],Calc_cost_per_dev3[#All],3,FALSE)+HLOOKUP(Calc_cost_per_dev4[[#Headers],[Fortinet FortiGate-1500D]],Calc_cost_per_dev2[#All],3,FALSE)</f>
        <v>10469</v>
      </c>
      <c r="E25" s="287">
        <f>HLOOKUP(Calc_cost_per_dev4[[#Headers],[HP TippingPoint S7500NX]],Calc_cost_per_dev3[#All],3,FALSE)+HLOOKUP(Calc_cost_per_dev4[[#Headers],[HP TippingPoint S7500NX]],Calc_cost_per_dev2[#All],3,FALSE)</f>
        <v>41159</v>
      </c>
      <c r="F25" s="287">
        <f>HLOOKUP(Calc_cost_per_dev4[[#Headers],[IBM Security Network Protection XGS 5100]],Calc_cost_per_dev3[#All],3,FALSE)+HLOOKUP(Calc_cost_per_dev4[[#Headers],[IBM Security Network Protection XGS 5100]],Calc_cost_per_dev2[#All],3,FALSE)</f>
        <v>23742</v>
      </c>
      <c r="G25" s="287">
        <f>HLOOKUP(Calc_cost_per_dev4[[#Headers],[IBM Security Network Protection XGS 7100]],Calc_cost_per_dev3[#All],3,FALSE)+HLOOKUP(Calc_cost_per_dev4[[#Headers],[IBM Security Network Protection XGS 7100]],Calc_cost_per_dev2[#All],3,FALSE)</f>
        <v>62208</v>
      </c>
      <c r="H25" s="287">
        <f>HLOOKUP(Calc_cost_per_dev4[[#Headers],[Palo Alto Networks PA-5020]],Calc_cost_per_dev3[#All],3,FALSE)+HLOOKUP(Calc_cost_per_dev4[[#Headers],[Palo Alto Networks PA-5020]],Calc_cost_per_dev2[#All],3,FALSE)</f>
        <v>10240</v>
      </c>
    </row>
    <row r="26" spans="1:8">
      <c r="B26" s="143" t="s">
        <v>71</v>
      </c>
      <c r="C26" s="287">
        <f>HLOOKUP(Calc_cost_per_dev4[[#Headers],[Cisco FirePOWER 8350]],Calc_cost_per_dev3[#All],4,FALSE)+HLOOKUP(Calc_cost_per_dev4[[#Headers],[Cisco FirePOWER 8350]],Calc_cost_per_dev2[#All],4,FALSE)</f>
        <v>19386.666666666668</v>
      </c>
      <c r="D26" s="287">
        <f>HLOOKUP(Calc_cost_per_dev4[[#Headers],[Fortinet FortiGate-1500D]],Calc_cost_per_dev3[#All],4,FALSE)+HLOOKUP(Calc_cost_per_dev4[[#Headers],[Fortinet FortiGate-1500D]],Calc_cost_per_dev2[#All],4,FALSE)</f>
        <v>10469</v>
      </c>
      <c r="E26" s="287">
        <f>HLOOKUP(Calc_cost_per_dev4[[#Headers],[HP TippingPoint S7500NX]],Calc_cost_per_dev3[#All],4,FALSE)+HLOOKUP(Calc_cost_per_dev4[[#Headers],[HP TippingPoint S7500NX]],Calc_cost_per_dev2[#All],4,FALSE)</f>
        <v>41159</v>
      </c>
      <c r="F26" s="287">
        <f>HLOOKUP(Calc_cost_per_dev4[[#Headers],[IBM Security Network Protection XGS 5100]],Calc_cost_per_dev3[#All],4,FALSE)+HLOOKUP(Calc_cost_per_dev4[[#Headers],[IBM Security Network Protection XGS 5100]],Calc_cost_per_dev2[#All],4,FALSE)</f>
        <v>23742</v>
      </c>
      <c r="G26" s="287">
        <f>HLOOKUP(Calc_cost_per_dev4[[#Headers],[IBM Security Network Protection XGS 7100]],Calc_cost_per_dev3[#All],4,FALSE)+HLOOKUP(Calc_cost_per_dev4[[#Headers],[IBM Security Network Protection XGS 7100]],Calc_cost_per_dev2[#All],4,FALSE)</f>
        <v>62208</v>
      </c>
      <c r="H26" s="287">
        <f>HLOOKUP(Calc_cost_per_dev4[[#Headers],[Palo Alto Networks PA-5020]],Calc_cost_per_dev3[#All],4,FALSE)+HLOOKUP(Calc_cost_per_dev4[[#Headers],[Palo Alto Networks PA-5020]],Calc_cost_per_dev2[#All],4,FALSE)</f>
        <v>10240</v>
      </c>
    </row>
    <row r="29" spans="1:8">
      <c r="B29" s="286" t="s">
        <v>96</v>
      </c>
    </row>
    <row r="30" spans="1:8" ht="18" customHeight="1">
      <c r="A30" s="139" t="s">
        <v>429</v>
      </c>
      <c r="B30" s="288" t="s">
        <v>95</v>
      </c>
      <c r="C30" s="206" t="s">
        <v>701</v>
      </c>
      <c r="D30" s="206" t="s">
        <v>700</v>
      </c>
      <c r="E30" s="206" t="s">
        <v>698</v>
      </c>
      <c r="F30" s="206" t="s">
        <v>716</v>
      </c>
      <c r="G30" s="206" t="s">
        <v>717</v>
      </c>
      <c r="H30" s="206" t="s">
        <v>699</v>
      </c>
    </row>
    <row r="31" spans="1:8">
      <c r="B31" s="143" t="s">
        <v>76</v>
      </c>
      <c r="C31" s="287">
        <f>HLOOKUP(Calc_cost_per_dev5[[#Headers],[Cisco FirePOWER 8350]],Calc_cost_per_dev4[#All],2,FALSE)</f>
        <v>262376.66666666663</v>
      </c>
      <c r="D31" s="287">
        <f>HLOOKUP(Calc_cost_per_dev5[[#Headers],[Fortinet FortiGate-1500D]],Calc_cost_per_dev4[#All],2,FALSE)</f>
        <v>36067</v>
      </c>
      <c r="E31" s="287">
        <f>HLOOKUP(Calc_cost_per_dev5[[#Headers],[HP TippingPoint S7500NX]],Calc_cost_per_dev4[#All],2,FALSE)</f>
        <v>243355</v>
      </c>
      <c r="F31" s="287">
        <f>HLOOKUP(Calc_cost_per_dev5[[#Headers],[IBM Security Network Protection XGS 5100]],Calc_cost_per_dev4[#All],2,FALSE)</f>
        <v>132500</v>
      </c>
      <c r="G31" s="287">
        <f>HLOOKUP(Calc_cost_per_dev5[[#Headers],[IBM Security Network Protection XGS 7100]],Calc_cost_per_dev4[#All],2,FALSE)</f>
        <v>346200</v>
      </c>
      <c r="H31" s="287">
        <f>HLOOKUP(Calc_cost_per_dev5[[#Headers],[Palo Alto Networks PA-5020]],Calc_cost_per_dev4[#All],2,FALSE)</f>
        <v>52340</v>
      </c>
    </row>
    <row r="32" spans="1:8">
      <c r="B32" s="143" t="s">
        <v>145</v>
      </c>
      <c r="C32" s="287">
        <f>HLOOKUP(Calc_cost_per_dev5[[#Headers],[Cisco FirePOWER 8350]],Calc_cost_per_dev4[#All],2,FALSE)+HLOOKUP(Calc_cost_per_dev5[[#Headers],[Cisco FirePOWER 8350]],Calc_cost_per_dev4[#All],3,FALSE)</f>
        <v>281763.33333333331</v>
      </c>
      <c r="D32" s="287">
        <f>HLOOKUP(Calc_cost_per_dev5[[#Headers],[Fortinet FortiGate-1500D]],Calc_cost_per_dev4[#All],2,FALSE)+HLOOKUP(Calc_cost_per_dev5[[#Headers],[Fortinet FortiGate-1500D]],Calc_cost_per_dev4[#All],3,FALSE)</f>
        <v>46536</v>
      </c>
      <c r="E32" s="287">
        <f>HLOOKUP(Calc_cost_per_dev5[[#Headers],[HP TippingPoint S7500NX]],Calc_cost_per_dev4[#All],2,FALSE)+HLOOKUP(Calc_cost_per_dev5[[#Headers],[HP TippingPoint S7500NX]],Calc_cost_per_dev4[#All],3,FALSE)</f>
        <v>284514</v>
      </c>
      <c r="F32" s="287">
        <f>HLOOKUP(Calc_cost_per_dev5[[#Headers],[IBM Security Network Protection XGS 5100]],Calc_cost_per_dev4[#All],2,FALSE)+HLOOKUP(Calc_cost_per_dev5[[#Headers],[IBM Security Network Protection XGS 5100]],Calc_cost_per_dev4[#All],3,FALSE)</f>
        <v>156242</v>
      </c>
      <c r="G32" s="287">
        <f>HLOOKUP(Calc_cost_per_dev5[[#Headers],[IBM Security Network Protection XGS 7100]],Calc_cost_per_dev4[#All],2,FALSE)+HLOOKUP(Calc_cost_per_dev5[[#Headers],[IBM Security Network Protection XGS 7100]],Calc_cost_per_dev4[#All],3,FALSE)</f>
        <v>408408</v>
      </c>
      <c r="H32" s="287">
        <f>HLOOKUP(Calc_cost_per_dev5[[#Headers],[Palo Alto Networks PA-5020]],Calc_cost_per_dev4[#All],2,FALSE)+HLOOKUP(Calc_cost_per_dev5[[#Headers],[Palo Alto Networks PA-5020]],Calc_cost_per_dev4[#All],3,FALSE)</f>
        <v>62580</v>
      </c>
    </row>
    <row r="33" spans="2:9">
      <c r="B33" s="143" t="s">
        <v>75</v>
      </c>
      <c r="C33" s="287">
        <f>HLOOKUP(Calc_cost_per_dev5[[#Headers],[Cisco FirePOWER 8350]],Calc_cost_per_dev4[#All],2,FALSE)+HLOOKUP(Calc_cost_per_dev5[[#Headers],[Cisco FirePOWER 8350]],Calc_cost_per_dev4[#All],3,FALSE)+HLOOKUP(Calc_cost_per_dev5[[#Headers],[Cisco FirePOWER 8350]],Calc_cost_per_dev4[#All],4,FALSE)</f>
        <v>301150</v>
      </c>
      <c r="D33" s="287">
        <f>HLOOKUP(Calc_cost_per_dev5[[#Headers],[Fortinet FortiGate-1500D]],Calc_cost_per_dev4[#All],2,FALSE)+HLOOKUP(Calc_cost_per_dev5[[#Headers],[Fortinet FortiGate-1500D]],Calc_cost_per_dev4[#All],3,FALSE)+HLOOKUP(Calc_cost_per_dev5[[#Headers],[Fortinet FortiGate-1500D]],Calc_cost_per_dev4[#All],4,FALSE)</f>
        <v>57005</v>
      </c>
      <c r="E33" s="287">
        <f>HLOOKUP(Calc_cost_per_dev5[[#Headers],[HP TippingPoint S7500NX]],Calc_cost_per_dev4[#All],2,FALSE)+HLOOKUP(Calc_cost_per_dev5[[#Headers],[HP TippingPoint S7500NX]],Calc_cost_per_dev4[#All],3,FALSE)+HLOOKUP(Calc_cost_per_dev5[[#Headers],[HP TippingPoint S7500NX]],Calc_cost_per_dev4[#All],4,FALSE)</f>
        <v>325673</v>
      </c>
      <c r="F33" s="287">
        <f>HLOOKUP(Calc_cost_per_dev5[[#Headers],[IBM Security Network Protection XGS 5100]],Calc_cost_per_dev4[#All],2,FALSE)+HLOOKUP(Calc_cost_per_dev5[[#Headers],[IBM Security Network Protection XGS 5100]],Calc_cost_per_dev4[#All],3,FALSE)+HLOOKUP(Calc_cost_per_dev5[[#Headers],[IBM Security Network Protection XGS 5100]],Calc_cost_per_dev4[#All],4,FALSE)</f>
        <v>179984</v>
      </c>
      <c r="G33" s="287">
        <f>HLOOKUP(Calc_cost_per_dev5[[#Headers],[IBM Security Network Protection XGS 7100]],Calc_cost_per_dev4[#All],2,FALSE)+HLOOKUP(Calc_cost_per_dev5[[#Headers],[IBM Security Network Protection XGS 7100]],Calc_cost_per_dev4[#All],3,FALSE)+HLOOKUP(Calc_cost_per_dev5[[#Headers],[IBM Security Network Protection XGS 7100]],Calc_cost_per_dev4[#All],4,FALSE)</f>
        <v>470616</v>
      </c>
      <c r="H33" s="287">
        <f>HLOOKUP(Calc_cost_per_dev5[[#Headers],[Palo Alto Networks PA-5020]],Calc_cost_per_dev4[#All],2,FALSE)+HLOOKUP(Calc_cost_per_dev5[[#Headers],[Palo Alto Networks PA-5020]],Calc_cost_per_dev4[#All],3,FALSE)+HLOOKUP(Calc_cost_per_dev5[[#Headers],[Palo Alto Networks PA-5020]],Calc_cost_per_dev4[#All],4,FALSE)</f>
        <v>72820</v>
      </c>
    </row>
    <row r="35" spans="2:9">
      <c r="B35" s="133" t="s">
        <v>146</v>
      </c>
    </row>
    <row r="42" spans="2:9">
      <c r="C42" s="289"/>
      <c r="D42" s="289"/>
      <c r="E42" s="289"/>
      <c r="F42" s="289"/>
      <c r="G42" s="289"/>
      <c r="I42" s="289"/>
    </row>
    <row r="43" spans="2:9">
      <c r="C43" s="289"/>
      <c r="D43" s="289"/>
      <c r="E43" s="289"/>
      <c r="F43" s="289"/>
      <c r="G43" s="289"/>
      <c r="I43" s="289"/>
    </row>
    <row r="44" spans="2:9">
      <c r="C44" s="289"/>
      <c r="D44" s="289"/>
      <c r="E44" s="289"/>
      <c r="F44" s="289"/>
      <c r="G44" s="289"/>
      <c r="H44" s="223"/>
      <c r="I44" s="289"/>
    </row>
  </sheetData>
  <sheetProtection algorithmName="SHA-512" hashValue="m+FrHe8pFFaewUlI1BdNUI9SPAAupyzTMNBXt6drjAYLLAzmXl8uuBqe5ZezvmdeMnAAqEYjTEigDT9MwKUhkQ==" saltValue="s6oUnqftdPLexWG8JfiLrw==" spinCount="100000" sheet="1" objects="1" scenarios="1"/>
  <conditionalFormatting sqref="B3:H5 C10:H12 C17:H19 C24:H26 C31:H33">
    <cfRule type="containsText" dxfId="194" priority="143" operator="containsText" text="FAIL">
      <formula>NOT(ISERROR(SEARCH("FAIL",B3)))</formula>
    </cfRule>
  </conditionalFormatting>
  <conditionalFormatting sqref="B5">
    <cfRule type="containsText" dxfId="193" priority="111" operator="containsText" text="FAIL">
      <formula>NOT(ISERROR(SEARCH("FAIL",B5)))</formula>
    </cfRule>
  </conditionalFormatting>
  <pageMargins left="0.75" right="0.75" top="1" bottom="1" header="0.5" footer="0.5"/>
  <pageSetup orientation="portrait" horizontalDpi="4294967292" verticalDpi="4294967292"/>
  <ignoredErrors>
    <ignoredError sqref="C24:C26 C31:C33 C11:C12 C18:C19" calculatedColumn="1"/>
  </ignoredErrors>
  <tableParts count="5">
    <tablePart r:id="rId1"/>
    <tablePart r:id="rId2"/>
    <tablePart r:id="rId3"/>
    <tablePart r:id="rId4"/>
    <tablePart r:id="rId5"/>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5</vt:i4>
      </vt:variant>
    </vt:vector>
  </HeadingPairs>
  <TitlesOfParts>
    <vt:vector size="18" baseType="lpstr">
      <vt:lpstr>Title Page</vt:lpstr>
      <vt:lpstr>Legal</vt:lpstr>
      <vt:lpstr>Inputs</vt:lpstr>
      <vt:lpstr>SVM</vt:lpstr>
      <vt:lpstr>Security Analysis</vt:lpstr>
      <vt:lpstr>TCO Analysis</vt:lpstr>
      <vt:lpstr>Performance Analysis</vt:lpstr>
      <vt:lpstr>Calculated Results</vt:lpstr>
      <vt:lpstr>Calculated Costs per Device</vt:lpstr>
      <vt:lpstr>Calculated Costs (Central Mgmt)</vt:lpstr>
      <vt:lpstr>Combined Scorecards</vt:lpstr>
      <vt:lpstr>Management Scorecard</vt:lpstr>
      <vt:lpstr>PAR Scorecards</vt:lpstr>
      <vt:lpstr>'TCO Analysis'!_ftnref1</vt:lpstr>
      <vt:lpstr>'Security Analysis'!_Toc223166326</vt:lpstr>
      <vt:lpstr>'Security Analysis'!_Toc223166332</vt:lpstr>
      <vt:lpstr>'Security Analysis'!_Toc223166334</vt:lpstr>
      <vt:lpstr>'PAR Scorecards'!Text28</vt:lpstr>
    </vt:vector>
  </TitlesOfParts>
  <Company>NSS 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NGIPS SVM Toolkit</dc:title>
  <dc:creator>NSS Labs, Inc.</dc:creator>
  <cp:lastModifiedBy>Thomas Skybakmoen</cp:lastModifiedBy>
  <cp:revision>3</cp:revision>
  <cp:lastPrinted>2014-09-03T21:20:58Z</cp:lastPrinted>
  <dcterms:created xsi:type="dcterms:W3CDTF">2012-02-20T17:56:26Z</dcterms:created>
  <dcterms:modified xsi:type="dcterms:W3CDTF">2015-04-21T00:00:45Z</dcterms:modified>
  <cp:version>1</cp:version>
</cp:coreProperties>
</file>